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тдел реализации программ\РАБОТА ОТДЕЛА РЕАЛИЗАЦИИ\2026-2028\КП 2026-2028\new\"/>
    </mc:Choice>
  </mc:AlternateContent>
  <xr:revisionPtr revIDLastSave="0" documentId="13_ncr:1_{6322346D-3E4B-410C-9F14-1963001B3F29}" xr6:coauthVersionLast="47" xr6:coauthVersionMax="47" xr10:uidLastSave="{00000000-0000-0000-0000-000000000000}"/>
  <bookViews>
    <workbookView xWindow="-120" yWindow="-120" windowWidth="29040" windowHeight="15840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</sheets>
  <definedNames>
    <definedName name="_xlnm._FilterDatabase" localSheetId="1" hidden="1">Перечень!$A$15:$CR$504</definedName>
    <definedName name="_xlnm._FilterDatabase" localSheetId="3" hidden="1">'Плановое обеспечение'!#REF!</definedName>
    <definedName name="_xlnm._FilterDatabase" localSheetId="0" hidden="1">Реестр!$A$18:$AE$507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6" l="1"/>
  <c r="E91" i="6"/>
  <c r="F91" i="6"/>
  <c r="C91" i="6"/>
  <c r="C31" i="5"/>
  <c r="C30" i="5"/>
  <c r="C29" i="5"/>
  <c r="C32" i="5" s="1"/>
  <c r="K487" i="3"/>
  <c r="K486" i="3" s="1"/>
  <c r="J487" i="3"/>
  <c r="J486" i="3" s="1"/>
  <c r="S488" i="3"/>
  <c r="S487" i="3" s="1"/>
  <c r="S486" i="3" s="1"/>
  <c r="U487" i="3"/>
  <c r="U486" i="3" s="1"/>
  <c r="T488" i="3"/>
  <c r="P487" i="3"/>
  <c r="P486" i="3" s="1"/>
  <c r="Q487" i="3"/>
  <c r="Q486" i="3" s="1"/>
  <c r="R487" i="3"/>
  <c r="R486" i="3" s="1"/>
  <c r="O487" i="3"/>
  <c r="O486" i="3" s="1"/>
  <c r="I487" i="3"/>
  <c r="I486" i="3" s="1"/>
  <c r="Z491" i="1"/>
  <c r="E491" i="1" s="1"/>
  <c r="E490" i="1" s="1"/>
  <c r="E489" i="1" s="1"/>
  <c r="F490" i="1"/>
  <c r="F489" i="1" s="1"/>
  <c r="G490" i="1"/>
  <c r="G489" i="1" s="1"/>
  <c r="H490" i="1"/>
  <c r="H489" i="1" s="1"/>
  <c r="I490" i="1"/>
  <c r="I489" i="1" s="1"/>
  <c r="J490" i="1"/>
  <c r="J489" i="1" s="1"/>
  <c r="K490" i="1"/>
  <c r="K489" i="1" s="1"/>
  <c r="L490" i="1"/>
  <c r="L489" i="1" s="1"/>
  <c r="M490" i="1"/>
  <c r="M489" i="1" s="1"/>
  <c r="N490" i="1"/>
  <c r="N489" i="1" s="1"/>
  <c r="O490" i="1"/>
  <c r="O489" i="1" s="1"/>
  <c r="P490" i="1"/>
  <c r="P489" i="1" s="1"/>
  <c r="Q490" i="1"/>
  <c r="Q489" i="1" s="1"/>
  <c r="R490" i="1"/>
  <c r="R489" i="1" s="1"/>
  <c r="S490" i="1"/>
  <c r="S489" i="1" s="1"/>
  <c r="T490" i="1"/>
  <c r="T489" i="1" s="1"/>
  <c r="U490" i="1"/>
  <c r="U489" i="1" s="1"/>
  <c r="V490" i="1"/>
  <c r="V489" i="1" s="1"/>
  <c r="W490" i="1"/>
  <c r="W489" i="1" s="1"/>
  <c r="X490" i="1"/>
  <c r="X489" i="1" s="1"/>
  <c r="Y490" i="1"/>
  <c r="Y489" i="1" s="1"/>
  <c r="AA490" i="1"/>
  <c r="AA489" i="1" s="1"/>
  <c r="O116" i="1"/>
  <c r="T486" i="3" l="1"/>
  <c r="T487" i="3"/>
  <c r="Z490" i="1"/>
  <c r="Z489" i="1" s="1"/>
  <c r="D94" i="6"/>
  <c r="E94" i="6"/>
  <c r="F94" i="6"/>
  <c r="C94" i="6"/>
  <c r="U503" i="3" l="1"/>
  <c r="U500" i="3"/>
  <c r="U491" i="3"/>
  <c r="T493" i="3"/>
  <c r="T494" i="3"/>
  <c r="T495" i="3"/>
  <c r="T497" i="3"/>
  <c r="T498" i="3"/>
  <c r="T499" i="3"/>
  <c r="T501" i="3"/>
  <c r="T502" i="3"/>
  <c r="T504" i="3"/>
  <c r="T492" i="3"/>
  <c r="S504" i="3"/>
  <c r="S503" i="3" s="1"/>
  <c r="S502" i="3"/>
  <c r="S501" i="3"/>
  <c r="S498" i="3"/>
  <c r="S499" i="3"/>
  <c r="S497" i="3"/>
  <c r="S493" i="3"/>
  <c r="S494" i="3"/>
  <c r="S495" i="3"/>
  <c r="S492" i="3"/>
  <c r="P503" i="3"/>
  <c r="Q503" i="3"/>
  <c r="R503" i="3"/>
  <c r="O503" i="3"/>
  <c r="P500" i="3"/>
  <c r="Q500" i="3"/>
  <c r="R500" i="3"/>
  <c r="O500" i="3"/>
  <c r="P496" i="3"/>
  <c r="Q496" i="3"/>
  <c r="R496" i="3"/>
  <c r="O496" i="3"/>
  <c r="P491" i="3"/>
  <c r="Q491" i="3"/>
  <c r="R491" i="3"/>
  <c r="O491" i="3"/>
  <c r="J503" i="3"/>
  <c r="K503" i="3"/>
  <c r="I503" i="3"/>
  <c r="J500" i="3"/>
  <c r="K500" i="3"/>
  <c r="I500" i="3"/>
  <c r="J496" i="3"/>
  <c r="K496" i="3"/>
  <c r="I496" i="3"/>
  <c r="J491" i="3"/>
  <c r="K491" i="3"/>
  <c r="I491" i="3"/>
  <c r="K490" i="3" l="1"/>
  <c r="I490" i="3"/>
  <c r="T491" i="3"/>
  <c r="T496" i="3"/>
  <c r="J490" i="3"/>
  <c r="T500" i="3"/>
  <c r="T503" i="3"/>
  <c r="Q490" i="3"/>
  <c r="C36" i="5" s="1"/>
  <c r="S491" i="3"/>
  <c r="R490" i="3"/>
  <c r="C37" i="5" s="1"/>
  <c r="U496" i="3"/>
  <c r="U490" i="3" s="1"/>
  <c r="S500" i="3"/>
  <c r="S496" i="3"/>
  <c r="P490" i="3"/>
  <c r="O490" i="3"/>
  <c r="C35" i="5" l="1"/>
  <c r="C38" i="5" s="1"/>
  <c r="T490" i="3"/>
  <c r="S490" i="3"/>
  <c r="Z507" i="1" l="1"/>
  <c r="Z506" i="1" s="1"/>
  <c r="Z505" i="1"/>
  <c r="E505" i="1" s="1"/>
  <c r="Z504" i="1"/>
  <c r="Z502" i="1"/>
  <c r="E502" i="1" s="1"/>
  <c r="Z501" i="1"/>
  <c r="E501" i="1" s="1"/>
  <c r="Z500" i="1"/>
  <c r="E500" i="1" s="1"/>
  <c r="Z498" i="1"/>
  <c r="E498" i="1" s="1"/>
  <c r="Z497" i="1"/>
  <c r="E497" i="1" s="1"/>
  <c r="Z496" i="1"/>
  <c r="E496" i="1" s="1"/>
  <c r="Z495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AA494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AA499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AA503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AA506" i="1"/>
  <c r="W493" i="1" l="1"/>
  <c r="J493" i="1"/>
  <c r="S493" i="1"/>
  <c r="I493" i="1"/>
  <c r="K493" i="1"/>
  <c r="T493" i="1"/>
  <c r="H493" i="1"/>
  <c r="G493" i="1"/>
  <c r="F493" i="1"/>
  <c r="P493" i="1"/>
  <c r="Y493" i="1"/>
  <c r="M493" i="1"/>
  <c r="V493" i="1"/>
  <c r="X493" i="1"/>
  <c r="L493" i="1"/>
  <c r="N493" i="1"/>
  <c r="O493" i="1"/>
  <c r="Z494" i="1"/>
  <c r="U493" i="1"/>
  <c r="R493" i="1"/>
  <c r="Q493" i="1"/>
  <c r="E507" i="1"/>
  <c r="E506" i="1" s="1"/>
  <c r="Z503" i="1"/>
  <c r="E504" i="1"/>
  <c r="E503" i="1" s="1"/>
  <c r="Z499" i="1"/>
  <c r="E495" i="1"/>
  <c r="E494" i="1" s="1"/>
  <c r="AA493" i="1"/>
  <c r="E499" i="1"/>
  <c r="Z493" i="1" l="1"/>
  <c r="E493" i="1"/>
  <c r="T119" i="3" l="1"/>
  <c r="T120" i="3"/>
  <c r="R120" i="3"/>
  <c r="S120" i="3" s="1"/>
  <c r="R119" i="3"/>
  <c r="S119" i="3" s="1"/>
  <c r="U116" i="3"/>
  <c r="P116" i="3"/>
  <c r="Q116" i="3"/>
  <c r="O116" i="3"/>
  <c r="J116" i="3"/>
  <c r="K116" i="3"/>
  <c r="I116" i="3"/>
  <c r="B119" i="3"/>
  <c r="B120" i="3"/>
  <c r="Z123" i="1"/>
  <c r="E123" i="1" s="1"/>
  <c r="Z122" i="1"/>
  <c r="E122" i="1" s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AA119" i="1"/>
  <c r="B122" i="1"/>
  <c r="B123" i="1"/>
  <c r="Z67" i="1"/>
  <c r="E67" i="1" s="1"/>
  <c r="C12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C29" i="7"/>
  <c r="P371" i="3"/>
  <c r="Q371" i="3"/>
  <c r="R371" i="3"/>
  <c r="O371" i="3"/>
  <c r="J49" i="3"/>
  <c r="K49" i="3"/>
  <c r="I49" i="3"/>
  <c r="T64" i="3"/>
  <c r="P49" i="3"/>
  <c r="Q49" i="3"/>
  <c r="R49" i="3"/>
  <c r="O49" i="3"/>
  <c r="S64" i="3"/>
  <c r="B64" i="3"/>
  <c r="F52" i="1"/>
  <c r="G52" i="1"/>
  <c r="H52" i="1"/>
  <c r="I52" i="1"/>
  <c r="K52" i="1"/>
  <c r="L52" i="1"/>
  <c r="M52" i="1"/>
  <c r="N52" i="1"/>
  <c r="O52" i="1"/>
  <c r="P52" i="1"/>
  <c r="Q52" i="1"/>
  <c r="R52" i="1"/>
  <c r="T52" i="1"/>
  <c r="U52" i="1"/>
  <c r="V52" i="1"/>
  <c r="W52" i="1"/>
  <c r="X52" i="1"/>
  <c r="AA52" i="1"/>
  <c r="B58" i="1"/>
  <c r="B59" i="1"/>
  <c r="B60" i="1"/>
  <c r="B61" i="1"/>
  <c r="B62" i="1"/>
  <c r="B63" i="1"/>
  <c r="B64" i="1"/>
  <c r="B65" i="1"/>
  <c r="B66" i="1"/>
  <c r="B67" i="1"/>
  <c r="R116" i="3" l="1"/>
  <c r="Y52" i="1"/>
  <c r="B410" i="3" l="1"/>
  <c r="T410" i="3"/>
  <c r="S410" i="3"/>
  <c r="T409" i="3"/>
  <c r="S409" i="3"/>
  <c r="T408" i="3"/>
  <c r="S408" i="3"/>
  <c r="T407" i="3"/>
  <c r="S407" i="3"/>
  <c r="T406" i="3"/>
  <c r="S406" i="3"/>
  <c r="T405" i="3"/>
  <c r="S405" i="3"/>
  <c r="T404" i="3"/>
  <c r="S404" i="3"/>
  <c r="T403" i="3"/>
  <c r="U403" i="3" s="1"/>
  <c r="U397" i="3" s="1"/>
  <c r="S403" i="3"/>
  <c r="T402" i="3"/>
  <c r="S402" i="3"/>
  <c r="T401" i="3"/>
  <c r="S401" i="3"/>
  <c r="T400" i="3"/>
  <c r="S400" i="3"/>
  <c r="T399" i="3"/>
  <c r="S399" i="3"/>
  <c r="T398" i="3"/>
  <c r="S398" i="3"/>
  <c r="R397" i="3"/>
  <c r="Q397" i="3"/>
  <c r="P397" i="3"/>
  <c r="O397" i="3"/>
  <c r="K397" i="3"/>
  <c r="J397" i="3"/>
  <c r="I397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U77" i="3"/>
  <c r="R77" i="3"/>
  <c r="Q77" i="3"/>
  <c r="P77" i="3"/>
  <c r="O77" i="3"/>
  <c r="K77" i="3"/>
  <c r="J77" i="3"/>
  <c r="I77" i="3"/>
  <c r="B413" i="1"/>
  <c r="Z413" i="1"/>
  <c r="E413" i="1" s="1"/>
  <c r="Z412" i="1"/>
  <c r="E412" i="1" s="1"/>
  <c r="Z411" i="1"/>
  <c r="E411" i="1" s="1"/>
  <c r="Z410" i="1"/>
  <c r="E410" i="1" s="1"/>
  <c r="Z409" i="1"/>
  <c r="E409" i="1" s="1"/>
  <c r="Z408" i="1"/>
  <c r="E408" i="1" s="1"/>
  <c r="Z407" i="1"/>
  <c r="E407" i="1" s="1"/>
  <c r="Z406" i="1"/>
  <c r="Z405" i="1"/>
  <c r="E405" i="1" s="1"/>
  <c r="Z404" i="1"/>
  <c r="E404" i="1" s="1"/>
  <c r="Z403" i="1"/>
  <c r="E403" i="1" s="1"/>
  <c r="Z402" i="1"/>
  <c r="E402" i="1" s="1"/>
  <c r="Z401" i="1"/>
  <c r="E401" i="1" s="1"/>
  <c r="AA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Z94" i="1"/>
  <c r="E94" i="1" s="1"/>
  <c r="Z93" i="1"/>
  <c r="E93" i="1" s="1"/>
  <c r="Z92" i="1"/>
  <c r="E92" i="1" s="1"/>
  <c r="Z91" i="1"/>
  <c r="E91" i="1" s="1"/>
  <c r="O90" i="1"/>
  <c r="Z90" i="1" s="1"/>
  <c r="E90" i="1" s="1"/>
  <c r="Z89" i="1"/>
  <c r="E89" i="1" s="1"/>
  <c r="Z88" i="1"/>
  <c r="E88" i="1" s="1"/>
  <c r="O87" i="1"/>
  <c r="Z87" i="1" s="1"/>
  <c r="Z86" i="1"/>
  <c r="E86" i="1" s="1"/>
  <c r="O85" i="1"/>
  <c r="Z84" i="1"/>
  <c r="E84" i="1" s="1"/>
  <c r="Z83" i="1"/>
  <c r="E83" i="1" s="1"/>
  <c r="Z82" i="1"/>
  <c r="E82" i="1" s="1"/>
  <c r="Z81" i="1"/>
  <c r="E81" i="1" s="1"/>
  <c r="AA80" i="1"/>
  <c r="Y80" i="1"/>
  <c r="X80" i="1"/>
  <c r="W80" i="1"/>
  <c r="V80" i="1"/>
  <c r="U80" i="1"/>
  <c r="T80" i="1"/>
  <c r="S80" i="1"/>
  <c r="R80" i="1"/>
  <c r="Q80" i="1"/>
  <c r="P80" i="1"/>
  <c r="N80" i="1"/>
  <c r="M80" i="1"/>
  <c r="L80" i="1"/>
  <c r="K80" i="1"/>
  <c r="J80" i="1"/>
  <c r="I80" i="1"/>
  <c r="H80" i="1"/>
  <c r="G80" i="1"/>
  <c r="F80" i="1"/>
  <c r="O462" i="3"/>
  <c r="O469" i="1"/>
  <c r="O468" i="1"/>
  <c r="O80" i="1" l="1"/>
  <c r="T397" i="3"/>
  <c r="S77" i="3"/>
  <c r="S397" i="3"/>
  <c r="Z400" i="1"/>
  <c r="T77" i="3"/>
  <c r="E406" i="1"/>
  <c r="E400" i="1" s="1"/>
  <c r="Z85" i="1"/>
  <c r="E85" i="1" s="1"/>
  <c r="E87" i="1"/>
  <c r="T168" i="3"/>
  <c r="S168" i="3"/>
  <c r="U159" i="3"/>
  <c r="P159" i="3"/>
  <c r="Q159" i="3"/>
  <c r="R159" i="3"/>
  <c r="O159" i="3"/>
  <c r="J159" i="3"/>
  <c r="K159" i="3"/>
  <c r="I159" i="3"/>
  <c r="B163" i="3"/>
  <c r="B164" i="3"/>
  <c r="B165" i="3"/>
  <c r="B166" i="3"/>
  <c r="B167" i="3"/>
  <c r="B168" i="3"/>
  <c r="Z171" i="1"/>
  <c r="E80" i="1" l="1"/>
  <c r="Z80" i="1"/>
  <c r="F162" i="1"/>
  <c r="G162" i="1"/>
  <c r="H162" i="1"/>
  <c r="I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AA162" i="1"/>
  <c r="E171" i="1" l="1"/>
  <c r="B171" i="1" l="1"/>
  <c r="E64" i="6" l="1"/>
  <c r="D64" i="6"/>
  <c r="F64" i="6"/>
  <c r="C64" i="6"/>
  <c r="D38" i="6"/>
  <c r="E38" i="6"/>
  <c r="F38" i="6"/>
  <c r="C38" i="6"/>
  <c r="U15" i="3" l="1"/>
  <c r="P15" i="3"/>
  <c r="Q15" i="3"/>
  <c r="R15" i="3"/>
  <c r="O15" i="3"/>
  <c r="J15" i="3"/>
  <c r="K15" i="3"/>
  <c r="I15" i="3"/>
  <c r="B40" i="3"/>
  <c r="B41" i="3"/>
  <c r="F18" i="1"/>
  <c r="G18" i="1"/>
  <c r="H18" i="1"/>
  <c r="J18" i="1"/>
  <c r="K18" i="1"/>
  <c r="L18" i="1"/>
  <c r="M18" i="1"/>
  <c r="N18" i="1"/>
  <c r="P18" i="1"/>
  <c r="Q18" i="1"/>
  <c r="R18" i="1"/>
  <c r="T18" i="1"/>
  <c r="U18" i="1"/>
  <c r="V18" i="1"/>
  <c r="W18" i="1"/>
  <c r="X18" i="1"/>
  <c r="Y18" i="1"/>
  <c r="AA18" i="1"/>
  <c r="B42" i="1"/>
  <c r="B43" i="1"/>
  <c r="B44" i="1"/>
  <c r="K450" i="3" l="1"/>
  <c r="I450" i="3"/>
  <c r="J456" i="3"/>
  <c r="K456" i="3"/>
  <c r="I456" i="3"/>
  <c r="P456" i="3"/>
  <c r="Q456" i="3"/>
  <c r="R456" i="3"/>
  <c r="O456" i="3"/>
  <c r="U456" i="3"/>
  <c r="U450" i="3"/>
  <c r="P450" i="3"/>
  <c r="Q450" i="3"/>
  <c r="R450" i="3"/>
  <c r="O450" i="3"/>
  <c r="J450" i="3"/>
  <c r="U435" i="3"/>
  <c r="P435" i="3"/>
  <c r="Q435" i="3"/>
  <c r="R435" i="3"/>
  <c r="O435" i="3"/>
  <c r="J435" i="3"/>
  <c r="K435" i="3"/>
  <c r="I435" i="3"/>
  <c r="U315" i="3"/>
  <c r="P315" i="3"/>
  <c r="Q315" i="3"/>
  <c r="R315" i="3"/>
  <c r="O315" i="3"/>
  <c r="J315" i="3"/>
  <c r="K315" i="3"/>
  <c r="I315" i="3"/>
  <c r="U312" i="3"/>
  <c r="P312" i="3"/>
  <c r="Q312" i="3"/>
  <c r="R312" i="3"/>
  <c r="O312" i="3"/>
  <c r="J312" i="3"/>
  <c r="K312" i="3"/>
  <c r="I312" i="3"/>
  <c r="U126" i="3"/>
  <c r="P126" i="3"/>
  <c r="Q126" i="3"/>
  <c r="R126" i="3"/>
  <c r="O126" i="3"/>
  <c r="J126" i="3"/>
  <c r="K126" i="3"/>
  <c r="I126" i="3"/>
  <c r="U149" i="3"/>
  <c r="P149" i="3"/>
  <c r="Q149" i="3"/>
  <c r="R149" i="3"/>
  <c r="O149" i="3"/>
  <c r="J149" i="3"/>
  <c r="K149" i="3"/>
  <c r="I149" i="3"/>
  <c r="U141" i="3"/>
  <c r="P141" i="3"/>
  <c r="Q141" i="3"/>
  <c r="R141" i="3"/>
  <c r="O141" i="3"/>
  <c r="J141" i="3"/>
  <c r="K141" i="3"/>
  <c r="I141" i="3"/>
  <c r="U302" i="3"/>
  <c r="P302" i="3"/>
  <c r="Q302" i="3"/>
  <c r="R302" i="3"/>
  <c r="O302" i="3"/>
  <c r="J302" i="3"/>
  <c r="K302" i="3"/>
  <c r="I302" i="3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AA129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AA305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AA438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AA453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AA459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AA318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AA315" i="1"/>
  <c r="F152" i="1"/>
  <c r="G152" i="1"/>
  <c r="H152" i="1"/>
  <c r="I152" i="1"/>
  <c r="J152" i="1"/>
  <c r="K152" i="1"/>
  <c r="L152" i="1"/>
  <c r="M152" i="1"/>
  <c r="N152" i="1"/>
  <c r="P152" i="1"/>
  <c r="Q152" i="1"/>
  <c r="R152" i="1"/>
  <c r="S152" i="1"/>
  <c r="T152" i="1"/>
  <c r="U152" i="1"/>
  <c r="V152" i="1"/>
  <c r="W152" i="1"/>
  <c r="X152" i="1"/>
  <c r="Y152" i="1"/>
  <c r="AA152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AA144" i="1"/>
  <c r="B431" i="3"/>
  <c r="B432" i="3"/>
  <c r="B433" i="3"/>
  <c r="B434" i="3"/>
  <c r="T432" i="3"/>
  <c r="S432" i="3"/>
  <c r="U427" i="3"/>
  <c r="P427" i="3"/>
  <c r="Q427" i="3"/>
  <c r="R427" i="3"/>
  <c r="O427" i="3"/>
  <c r="J427" i="3"/>
  <c r="K427" i="3"/>
  <c r="I427" i="3"/>
  <c r="S433" i="3"/>
  <c r="T433" i="3"/>
  <c r="U296" i="3"/>
  <c r="P296" i="3"/>
  <c r="Q296" i="3"/>
  <c r="R296" i="3"/>
  <c r="O296" i="3"/>
  <c r="J296" i="3"/>
  <c r="K296" i="3"/>
  <c r="I296" i="3"/>
  <c r="U121" i="3"/>
  <c r="P121" i="3"/>
  <c r="Q121" i="3"/>
  <c r="R121" i="3"/>
  <c r="O121" i="3"/>
  <c r="J121" i="3"/>
  <c r="K121" i="3"/>
  <c r="I121" i="3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AA430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AA299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AA108" i="1"/>
  <c r="F124" i="1"/>
  <c r="G124" i="1"/>
  <c r="H124" i="1"/>
  <c r="I124" i="1"/>
  <c r="J124" i="1"/>
  <c r="K124" i="1"/>
  <c r="L124" i="1"/>
  <c r="M124" i="1"/>
  <c r="N124" i="1"/>
  <c r="P124" i="1"/>
  <c r="Q124" i="1"/>
  <c r="R124" i="1"/>
  <c r="S124" i="1"/>
  <c r="T124" i="1"/>
  <c r="U124" i="1"/>
  <c r="V124" i="1"/>
  <c r="W124" i="1"/>
  <c r="X124" i="1"/>
  <c r="Y124" i="1"/>
  <c r="AA124" i="1"/>
  <c r="U105" i="3"/>
  <c r="P105" i="3"/>
  <c r="Q105" i="3"/>
  <c r="R105" i="3"/>
  <c r="O105" i="3"/>
  <c r="J105" i="3"/>
  <c r="K105" i="3"/>
  <c r="I105" i="3"/>
  <c r="U422" i="3"/>
  <c r="P422" i="3"/>
  <c r="Q422" i="3"/>
  <c r="R422" i="3"/>
  <c r="O422" i="3"/>
  <c r="J422" i="3"/>
  <c r="K422" i="3"/>
  <c r="I422" i="3"/>
  <c r="U112" i="3"/>
  <c r="P112" i="3"/>
  <c r="Q112" i="3"/>
  <c r="R112" i="3"/>
  <c r="O112" i="3"/>
  <c r="J112" i="3"/>
  <c r="K112" i="3"/>
  <c r="I112" i="3"/>
  <c r="U291" i="3"/>
  <c r="P291" i="3"/>
  <c r="Q291" i="3"/>
  <c r="R291" i="3"/>
  <c r="O291" i="3"/>
  <c r="J291" i="3"/>
  <c r="K291" i="3"/>
  <c r="I291" i="3"/>
  <c r="F115" i="1" l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AA115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AA294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AA425" i="1"/>
  <c r="B91" i="3" l="1"/>
  <c r="B409" i="3"/>
  <c r="B412" i="1"/>
  <c r="B94" i="1" l="1"/>
  <c r="T118" i="3"/>
  <c r="S118" i="3"/>
  <c r="B118" i="3"/>
  <c r="Z121" i="1"/>
  <c r="E121" i="1" s="1"/>
  <c r="B121" i="1"/>
  <c r="B183" i="3"/>
  <c r="B182" i="3"/>
  <c r="B180" i="3"/>
  <c r="B179" i="3"/>
  <c r="B178" i="3"/>
  <c r="B176" i="3"/>
  <c r="B174" i="3"/>
  <c r="B173" i="3"/>
  <c r="B172" i="3"/>
  <c r="B171" i="3"/>
  <c r="B170" i="3"/>
  <c r="B162" i="3"/>
  <c r="B161" i="3"/>
  <c r="B160" i="3"/>
  <c r="B158" i="3"/>
  <c r="B148" i="3"/>
  <c r="B147" i="3"/>
  <c r="B146" i="3"/>
  <c r="B156" i="3"/>
  <c r="B155" i="3"/>
  <c r="B154" i="3"/>
  <c r="B153" i="3"/>
  <c r="B152" i="3"/>
  <c r="B151" i="3"/>
  <c r="B150" i="3"/>
  <c r="B145" i="3"/>
  <c r="B144" i="3"/>
  <c r="B143" i="3"/>
  <c r="B142" i="3"/>
  <c r="B140" i="3"/>
  <c r="B139" i="3"/>
  <c r="B138" i="3"/>
  <c r="B136" i="3"/>
  <c r="B135" i="3"/>
  <c r="B134" i="3"/>
  <c r="B133" i="3"/>
  <c r="B132" i="3"/>
  <c r="B130" i="3"/>
  <c r="B129" i="3"/>
  <c r="B128" i="3"/>
  <c r="B127" i="3"/>
  <c r="B125" i="3"/>
  <c r="B124" i="3"/>
  <c r="B123" i="3"/>
  <c r="B122" i="3"/>
  <c r="B117" i="3"/>
  <c r="B115" i="3"/>
  <c r="B114" i="3"/>
  <c r="B113" i="3"/>
  <c r="B111" i="3"/>
  <c r="B110" i="3"/>
  <c r="B109" i="3"/>
  <c r="B108" i="3"/>
  <c r="B107" i="3"/>
  <c r="B106" i="3"/>
  <c r="B104" i="3"/>
  <c r="B103" i="3"/>
  <c r="B101" i="3"/>
  <c r="B99" i="3"/>
  <c r="B97" i="3"/>
  <c r="B95" i="3"/>
  <c r="B94" i="3"/>
  <c r="B93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6" i="3"/>
  <c r="B74" i="3"/>
  <c r="B73" i="3"/>
  <c r="B72" i="3"/>
  <c r="B71" i="3"/>
  <c r="B70" i="3"/>
  <c r="B69" i="3"/>
  <c r="B68" i="3"/>
  <c r="B67" i="3"/>
  <c r="B66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8" i="3"/>
  <c r="B47" i="3"/>
  <c r="B46" i="3"/>
  <c r="B45" i="3"/>
  <c r="B44" i="3"/>
  <c r="B43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86" i="1"/>
  <c r="B185" i="1"/>
  <c r="B183" i="1"/>
  <c r="B182" i="1"/>
  <c r="B181" i="1"/>
  <c r="B179" i="1"/>
  <c r="B177" i="1"/>
  <c r="B176" i="1"/>
  <c r="B175" i="1"/>
  <c r="B174" i="1"/>
  <c r="B173" i="1"/>
  <c r="B170" i="1"/>
  <c r="B169" i="1"/>
  <c r="B168" i="1"/>
  <c r="B167" i="1"/>
  <c r="B166" i="1"/>
  <c r="B165" i="1"/>
  <c r="B164" i="1"/>
  <c r="B163" i="1"/>
  <c r="B161" i="1"/>
  <c r="B151" i="1"/>
  <c r="B150" i="1"/>
  <c r="B149" i="1"/>
  <c r="B159" i="1"/>
  <c r="B158" i="1"/>
  <c r="B157" i="1"/>
  <c r="B156" i="1"/>
  <c r="B155" i="1"/>
  <c r="B154" i="1"/>
  <c r="B153" i="1"/>
  <c r="B148" i="1"/>
  <c r="B147" i="1"/>
  <c r="B146" i="1"/>
  <c r="B145" i="1"/>
  <c r="B143" i="1"/>
  <c r="B142" i="1"/>
  <c r="B141" i="1"/>
  <c r="B139" i="1"/>
  <c r="B138" i="1"/>
  <c r="B137" i="1"/>
  <c r="B136" i="1"/>
  <c r="B135" i="1"/>
  <c r="B133" i="1"/>
  <c r="B132" i="1"/>
  <c r="B131" i="1"/>
  <c r="B130" i="1"/>
  <c r="B128" i="1"/>
  <c r="B127" i="1"/>
  <c r="B126" i="1"/>
  <c r="B125" i="1"/>
  <c r="B120" i="1"/>
  <c r="B118" i="1"/>
  <c r="B117" i="1"/>
  <c r="B116" i="1"/>
  <c r="B114" i="1"/>
  <c r="B113" i="1"/>
  <c r="B112" i="1"/>
  <c r="B111" i="1"/>
  <c r="B110" i="1"/>
  <c r="B109" i="1"/>
  <c r="B107" i="1"/>
  <c r="B106" i="1"/>
  <c r="B104" i="1"/>
  <c r="B102" i="1"/>
  <c r="B100" i="1"/>
  <c r="B98" i="1"/>
  <c r="B97" i="1"/>
  <c r="B96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77" i="1"/>
  <c r="B76" i="1"/>
  <c r="B75" i="1"/>
  <c r="B74" i="1"/>
  <c r="B73" i="1"/>
  <c r="B72" i="1"/>
  <c r="B71" i="1"/>
  <c r="B70" i="1"/>
  <c r="B69" i="1"/>
  <c r="B57" i="1"/>
  <c r="B56" i="1"/>
  <c r="B55" i="1"/>
  <c r="B54" i="1"/>
  <c r="B53" i="1"/>
  <c r="B51" i="1"/>
  <c r="B50" i="1"/>
  <c r="B49" i="1"/>
  <c r="B48" i="1"/>
  <c r="B47" i="1"/>
  <c r="B46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AA188" i="1"/>
  <c r="P185" i="3"/>
  <c r="Q185" i="3"/>
  <c r="R185" i="3"/>
  <c r="O185" i="3"/>
  <c r="J185" i="3"/>
  <c r="K185" i="3"/>
  <c r="I185" i="3"/>
  <c r="B219" i="3"/>
  <c r="B220" i="3"/>
  <c r="B222" i="1"/>
  <c r="B22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AA263" i="1"/>
  <c r="B338" i="1"/>
  <c r="B336" i="1"/>
  <c r="B335" i="1"/>
  <c r="B333" i="1"/>
  <c r="B332" i="1"/>
  <c r="B331" i="1"/>
  <c r="B330" i="1"/>
  <c r="B328" i="1"/>
  <c r="B327" i="1"/>
  <c r="B326" i="1"/>
  <c r="B325" i="1"/>
  <c r="B323" i="1"/>
  <c r="B321" i="1"/>
  <c r="B320" i="1"/>
  <c r="B319" i="1"/>
  <c r="B317" i="1"/>
  <c r="B316" i="1"/>
  <c r="B314" i="1"/>
  <c r="B313" i="1"/>
  <c r="B311" i="1"/>
  <c r="B310" i="1"/>
  <c r="B308" i="1"/>
  <c r="B307" i="1"/>
  <c r="B306" i="1"/>
  <c r="B304" i="1"/>
  <c r="B303" i="1"/>
  <c r="B302" i="1"/>
  <c r="B301" i="1"/>
  <c r="B300" i="1"/>
  <c r="B298" i="1"/>
  <c r="B296" i="1"/>
  <c r="B295" i="1"/>
  <c r="B293" i="1"/>
  <c r="B292" i="1"/>
  <c r="B290" i="1"/>
  <c r="B288" i="1"/>
  <c r="B286" i="1"/>
  <c r="B284" i="1"/>
  <c r="B282" i="1"/>
  <c r="B281" i="1"/>
  <c r="B280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2" i="1"/>
  <c r="B261" i="1"/>
  <c r="B259" i="1"/>
  <c r="B258" i="1"/>
  <c r="B257" i="1"/>
  <c r="B256" i="1"/>
  <c r="B255" i="1"/>
  <c r="B254" i="1"/>
  <c r="B253" i="1"/>
  <c r="B252" i="1"/>
  <c r="B251" i="1"/>
  <c r="B250" i="1"/>
  <c r="B249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8" i="1"/>
  <c r="B227" i="1"/>
  <c r="B226" i="1"/>
  <c r="B225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335" i="3" l="1"/>
  <c r="B333" i="3"/>
  <c r="B332" i="3"/>
  <c r="B330" i="3"/>
  <c r="B329" i="3"/>
  <c r="B328" i="3"/>
  <c r="B327" i="3"/>
  <c r="B325" i="3"/>
  <c r="B324" i="3"/>
  <c r="B323" i="3"/>
  <c r="B322" i="3"/>
  <c r="B320" i="3"/>
  <c r="B318" i="3"/>
  <c r="B317" i="3"/>
  <c r="B316" i="3"/>
  <c r="B314" i="3"/>
  <c r="B313" i="3"/>
  <c r="B311" i="3"/>
  <c r="B310" i="3"/>
  <c r="B308" i="3"/>
  <c r="B307" i="3"/>
  <c r="B305" i="3"/>
  <c r="B304" i="3"/>
  <c r="B303" i="3"/>
  <c r="B301" i="3"/>
  <c r="B300" i="3"/>
  <c r="B299" i="3"/>
  <c r="B298" i="3"/>
  <c r="B297" i="3"/>
  <c r="B295" i="3"/>
  <c r="B293" i="3"/>
  <c r="B292" i="3"/>
  <c r="B290" i="3"/>
  <c r="B289" i="3"/>
  <c r="B287" i="3"/>
  <c r="B285" i="3"/>
  <c r="B283" i="3"/>
  <c r="B281" i="3"/>
  <c r="B279" i="3"/>
  <c r="B278" i="3"/>
  <c r="B277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59" i="3"/>
  <c r="B258" i="3"/>
  <c r="B256" i="3"/>
  <c r="B255" i="3"/>
  <c r="B254" i="3"/>
  <c r="B253" i="3"/>
  <c r="B252" i="3"/>
  <c r="B251" i="3"/>
  <c r="B250" i="3"/>
  <c r="B249" i="3"/>
  <c r="B248" i="3"/>
  <c r="B247" i="3"/>
  <c r="B246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5" i="3"/>
  <c r="B224" i="3"/>
  <c r="B223" i="3"/>
  <c r="B222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487" i="1"/>
  <c r="B485" i="1"/>
  <c r="B483" i="1"/>
  <c r="B481" i="1"/>
  <c r="B479" i="1"/>
  <c r="B477" i="1"/>
  <c r="B476" i="1"/>
  <c r="B475" i="1"/>
  <c r="B474" i="1"/>
  <c r="B473" i="1"/>
  <c r="B472" i="1"/>
  <c r="B470" i="1"/>
  <c r="B469" i="1"/>
  <c r="B468" i="1"/>
  <c r="B467" i="1"/>
  <c r="B466" i="1"/>
  <c r="B464" i="1"/>
  <c r="B462" i="1"/>
  <c r="B461" i="1"/>
  <c r="B460" i="1"/>
  <c r="B458" i="1"/>
  <c r="B457" i="1"/>
  <c r="B456" i="1"/>
  <c r="B455" i="1"/>
  <c r="B454" i="1"/>
  <c r="B452" i="1"/>
  <c r="B450" i="1"/>
  <c r="B449" i="1"/>
  <c r="B448" i="1"/>
  <c r="B447" i="1"/>
  <c r="B446" i="1"/>
  <c r="B445" i="1"/>
  <c r="B444" i="1"/>
  <c r="B443" i="1"/>
  <c r="B441" i="1"/>
  <c r="B440" i="1"/>
  <c r="B439" i="1"/>
  <c r="B437" i="1"/>
  <c r="B436" i="1"/>
  <c r="B435" i="1"/>
  <c r="B434" i="1"/>
  <c r="B433" i="1"/>
  <c r="B432" i="1"/>
  <c r="B431" i="1"/>
  <c r="B429" i="1"/>
  <c r="B427" i="1"/>
  <c r="B426" i="1"/>
  <c r="B424" i="1"/>
  <c r="B423" i="1"/>
  <c r="B421" i="1"/>
  <c r="B419" i="1"/>
  <c r="B417" i="1"/>
  <c r="B416" i="1"/>
  <c r="B415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98" i="1"/>
  <c r="B397" i="1"/>
  <c r="B396" i="1"/>
  <c r="B395" i="1"/>
  <c r="B394" i="1"/>
  <c r="B393" i="1"/>
  <c r="B392" i="1"/>
  <c r="B391" i="1"/>
  <c r="B390" i="1"/>
  <c r="B389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3" i="1"/>
  <c r="B372" i="1"/>
  <c r="B371" i="1"/>
  <c r="B370" i="1"/>
  <c r="B369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P337" i="3"/>
  <c r="Q337" i="3"/>
  <c r="R337" i="3"/>
  <c r="O337" i="3"/>
  <c r="B484" i="3"/>
  <c r="B482" i="3"/>
  <c r="B480" i="3"/>
  <c r="B478" i="3"/>
  <c r="B476" i="3"/>
  <c r="B474" i="3"/>
  <c r="B473" i="3"/>
  <c r="B472" i="3"/>
  <c r="B471" i="3"/>
  <c r="B470" i="3"/>
  <c r="B469" i="3"/>
  <c r="B467" i="3"/>
  <c r="B466" i="3"/>
  <c r="B465" i="3"/>
  <c r="B464" i="3"/>
  <c r="B463" i="3"/>
  <c r="B461" i="3"/>
  <c r="B459" i="3"/>
  <c r="B458" i="3"/>
  <c r="B457" i="3"/>
  <c r="B455" i="3"/>
  <c r="B454" i="3"/>
  <c r="B453" i="3"/>
  <c r="B452" i="3"/>
  <c r="B451" i="3"/>
  <c r="B449" i="3"/>
  <c r="B447" i="3"/>
  <c r="B446" i="3"/>
  <c r="B445" i="3"/>
  <c r="B444" i="3"/>
  <c r="B443" i="3"/>
  <c r="B442" i="3"/>
  <c r="B441" i="3"/>
  <c r="B440" i="3"/>
  <c r="B438" i="3"/>
  <c r="B437" i="3"/>
  <c r="B436" i="3"/>
  <c r="B430" i="3"/>
  <c r="B429" i="3"/>
  <c r="B428" i="3"/>
  <c r="B426" i="3"/>
  <c r="B424" i="3"/>
  <c r="B423" i="3"/>
  <c r="B421" i="3"/>
  <c r="B420" i="3"/>
  <c r="B418" i="3"/>
  <c r="B416" i="3"/>
  <c r="B414" i="3"/>
  <c r="B413" i="3"/>
  <c r="B412" i="3"/>
  <c r="B408" i="3"/>
  <c r="B407" i="3"/>
  <c r="B406" i="3"/>
  <c r="B405" i="3"/>
  <c r="B404" i="3"/>
  <c r="B403" i="3"/>
  <c r="B402" i="3"/>
  <c r="B401" i="3"/>
  <c r="B400" i="3"/>
  <c r="B399" i="3"/>
  <c r="B398" i="3"/>
  <c r="B396" i="3"/>
  <c r="B395" i="3"/>
  <c r="B394" i="3"/>
  <c r="B393" i="3"/>
  <c r="B392" i="3"/>
  <c r="B391" i="3"/>
  <c r="B390" i="3"/>
  <c r="B389" i="3"/>
  <c r="B388" i="3"/>
  <c r="B387" i="3"/>
  <c r="B386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0" i="3"/>
  <c r="B369" i="3"/>
  <c r="B368" i="3"/>
  <c r="B367" i="3"/>
  <c r="B366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T271" i="3" l="1"/>
  <c r="S271" i="3"/>
  <c r="T270" i="3"/>
  <c r="S270" i="3"/>
  <c r="U257" i="3"/>
  <c r="P257" i="3"/>
  <c r="Q257" i="3"/>
  <c r="R257" i="3"/>
  <c r="O257" i="3"/>
  <c r="J257" i="3"/>
  <c r="K257" i="3"/>
  <c r="I257" i="3"/>
  <c r="T259" i="3"/>
  <c r="S259" i="3"/>
  <c r="U245" i="3"/>
  <c r="P245" i="3"/>
  <c r="Q245" i="3"/>
  <c r="R245" i="3"/>
  <c r="O245" i="3"/>
  <c r="J245" i="3"/>
  <c r="K245" i="3"/>
  <c r="I245" i="3"/>
  <c r="T256" i="3"/>
  <c r="S256" i="3"/>
  <c r="P226" i="3"/>
  <c r="Q226" i="3"/>
  <c r="R226" i="3"/>
  <c r="O226" i="3"/>
  <c r="J226" i="3"/>
  <c r="K226" i="3"/>
  <c r="I226" i="3"/>
  <c r="T243" i="3"/>
  <c r="U243" i="3" s="1"/>
  <c r="T244" i="3"/>
  <c r="U244" i="3" s="1"/>
  <c r="S243" i="3"/>
  <c r="S244" i="3"/>
  <c r="U226" i="3" l="1"/>
  <c r="J337" i="3" l="1"/>
  <c r="K337" i="3"/>
  <c r="I337" i="3"/>
  <c r="T362" i="3"/>
  <c r="U362" i="3" s="1"/>
  <c r="T363" i="3"/>
  <c r="U363" i="3" s="1"/>
  <c r="T364" i="3"/>
  <c r="U364" i="3" s="1"/>
  <c r="S362" i="3"/>
  <c r="S363" i="3"/>
  <c r="S364" i="3"/>
  <c r="U337" i="3" l="1"/>
  <c r="S204" i="3" l="1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T211" i="3"/>
  <c r="T212" i="3"/>
  <c r="T213" i="3"/>
  <c r="T214" i="3"/>
  <c r="T215" i="3"/>
  <c r="T216" i="3"/>
  <c r="T217" i="3"/>
  <c r="U217" i="3" s="1"/>
  <c r="T218" i="3"/>
  <c r="U218" i="3" s="1"/>
  <c r="U260" i="3"/>
  <c r="P260" i="3"/>
  <c r="Q260" i="3"/>
  <c r="R260" i="3"/>
  <c r="O260" i="3"/>
  <c r="J260" i="3"/>
  <c r="K260" i="3"/>
  <c r="I260" i="3"/>
  <c r="S219" i="3"/>
  <c r="S220" i="3"/>
  <c r="T220" i="3"/>
  <c r="T219" i="3"/>
  <c r="L340" i="1"/>
  <c r="Z222" i="1"/>
  <c r="E222" i="1" s="1"/>
  <c r="Z223" i="1"/>
  <c r="E223" i="1" s="1"/>
  <c r="U185" i="3" l="1"/>
  <c r="F340" i="1" l="1"/>
  <c r="G340" i="1"/>
  <c r="H340" i="1"/>
  <c r="I340" i="1"/>
  <c r="J340" i="1"/>
  <c r="K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AA340" i="1"/>
  <c r="Z367" i="1"/>
  <c r="E367" i="1" s="1"/>
  <c r="Z366" i="1"/>
  <c r="E366" i="1" s="1"/>
  <c r="Z365" i="1"/>
  <c r="E365" i="1" s="1"/>
  <c r="Z340" i="1" l="1"/>
  <c r="E209" i="1" l="1"/>
  <c r="E210" i="1"/>
  <c r="E211" i="1"/>
  <c r="E212" i="1"/>
  <c r="E213" i="1"/>
  <c r="Z221" i="1"/>
  <c r="E221" i="1" s="1"/>
  <c r="Z220" i="1"/>
  <c r="E220" i="1" s="1"/>
  <c r="Z219" i="1"/>
  <c r="Z218" i="1"/>
  <c r="E218" i="1" s="1"/>
  <c r="Z217" i="1"/>
  <c r="E217" i="1" s="1"/>
  <c r="Z216" i="1"/>
  <c r="E216" i="1" s="1"/>
  <c r="Z215" i="1"/>
  <c r="E215" i="1" s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AA260" i="1"/>
  <c r="E262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AA248" i="1"/>
  <c r="F248" i="1"/>
  <c r="Z259" i="1"/>
  <c r="E259" i="1" s="1"/>
  <c r="Z247" i="1"/>
  <c r="E247" i="1" s="1"/>
  <c r="Z246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AA229" i="1"/>
  <c r="F229" i="1"/>
  <c r="E246" i="1" l="1"/>
  <c r="T136" i="3" l="1"/>
  <c r="S136" i="3"/>
  <c r="U131" i="3"/>
  <c r="P131" i="3"/>
  <c r="Q131" i="3"/>
  <c r="R131" i="3"/>
  <c r="O131" i="3"/>
  <c r="J131" i="3"/>
  <c r="K131" i="3"/>
  <c r="I131" i="3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AA134" i="1"/>
  <c r="Z139" i="1"/>
  <c r="E139" i="1" s="1"/>
  <c r="U439" i="3"/>
  <c r="T444" i="3"/>
  <c r="T445" i="3"/>
  <c r="T446" i="3"/>
  <c r="T447" i="3"/>
  <c r="S444" i="3"/>
  <c r="S445" i="3"/>
  <c r="S446" i="3"/>
  <c r="S447" i="3"/>
  <c r="P439" i="3"/>
  <c r="Q439" i="3"/>
  <c r="R439" i="3"/>
  <c r="O439" i="3"/>
  <c r="J439" i="3"/>
  <c r="K439" i="3"/>
  <c r="I439" i="3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AA442" i="1"/>
  <c r="Z450" i="1"/>
  <c r="E450" i="1" s="1"/>
  <c r="Z449" i="1"/>
  <c r="E449" i="1" s="1"/>
  <c r="Z448" i="1"/>
  <c r="E448" i="1" s="1"/>
  <c r="Z447" i="1"/>
  <c r="E447" i="1" s="1"/>
  <c r="U326" i="3" l="1"/>
  <c r="P326" i="3"/>
  <c r="Q326" i="3"/>
  <c r="R326" i="3"/>
  <c r="O326" i="3"/>
  <c r="O184" i="3" s="1"/>
  <c r="J326" i="3"/>
  <c r="K326" i="3"/>
  <c r="I326" i="3"/>
  <c r="U468" i="3"/>
  <c r="P468" i="3"/>
  <c r="Q468" i="3"/>
  <c r="R468" i="3"/>
  <c r="O468" i="3"/>
  <c r="J468" i="3"/>
  <c r="K468" i="3"/>
  <c r="I468" i="3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AA471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AA329" i="1"/>
  <c r="U169" i="3"/>
  <c r="P169" i="3"/>
  <c r="Q169" i="3"/>
  <c r="R169" i="3"/>
  <c r="O169" i="3"/>
  <c r="O14" i="3" s="1"/>
  <c r="J169" i="3"/>
  <c r="K169" i="3"/>
  <c r="I169" i="3"/>
  <c r="T174" i="3"/>
  <c r="S174" i="3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T172" i="1"/>
  <c r="U172" i="1"/>
  <c r="V172" i="1"/>
  <c r="W172" i="1"/>
  <c r="X172" i="1"/>
  <c r="Y172" i="1"/>
  <c r="AA172" i="1"/>
  <c r="Z177" i="1"/>
  <c r="E177" i="1" s="1"/>
  <c r="U102" i="3" l="1"/>
  <c r="Q102" i="3"/>
  <c r="R102" i="3"/>
  <c r="P102" i="3"/>
  <c r="J102" i="3"/>
  <c r="K102" i="3"/>
  <c r="I102" i="3"/>
  <c r="AE104" i="3"/>
  <c r="T104" i="3"/>
  <c r="BU104" i="3" s="1"/>
  <c r="S104" i="3"/>
  <c r="AB104" i="3" s="1"/>
  <c r="S107" i="1" l="1"/>
  <c r="F105" i="1" l="1"/>
  <c r="G105" i="1"/>
  <c r="H105" i="1"/>
  <c r="I105" i="1"/>
  <c r="J105" i="1"/>
  <c r="K105" i="1"/>
  <c r="L105" i="1"/>
  <c r="M105" i="1"/>
  <c r="N105" i="1"/>
  <c r="O105" i="1"/>
  <c r="P105" i="1"/>
  <c r="Q105" i="1"/>
  <c r="R105" i="1"/>
  <c r="T105" i="1"/>
  <c r="U105" i="1"/>
  <c r="V105" i="1"/>
  <c r="W105" i="1"/>
  <c r="X105" i="1"/>
  <c r="Y105" i="1"/>
  <c r="AA105" i="1"/>
  <c r="Z107" i="1"/>
  <c r="E107" i="1" s="1"/>
  <c r="AE145" i="3"/>
  <c r="T145" i="3"/>
  <c r="BU145" i="3" s="1"/>
  <c r="S145" i="3"/>
  <c r="AB145" i="3" s="1"/>
  <c r="T62" i="3"/>
  <c r="S62" i="3"/>
  <c r="Q177" i="3"/>
  <c r="P177" i="3"/>
  <c r="J177" i="3"/>
  <c r="K177" i="3"/>
  <c r="I177" i="3"/>
  <c r="BW180" i="3"/>
  <c r="AH180" i="3"/>
  <c r="AE180" i="3"/>
  <c r="T180" i="3"/>
  <c r="BU180" i="3" s="1"/>
  <c r="S180" i="3"/>
  <c r="AB180" i="3" s="1"/>
  <c r="BW179" i="3"/>
  <c r="AH179" i="3"/>
  <c r="AE179" i="3"/>
  <c r="T179" i="3"/>
  <c r="BU179" i="3" s="1"/>
  <c r="R179" i="3"/>
  <c r="R177" i="3" s="1"/>
  <c r="T63" i="3"/>
  <c r="U63" i="3" s="1"/>
  <c r="U49" i="3" s="1"/>
  <c r="S63" i="3"/>
  <c r="S179" i="3" l="1"/>
  <c r="AB179" i="3" s="1"/>
  <c r="O154" i="1" l="1"/>
  <c r="O152" i="1" s="1"/>
  <c r="J63" i="1" l="1"/>
  <c r="J52" i="1" s="1"/>
  <c r="Z73" i="1" l="1"/>
  <c r="E73" i="1" s="1"/>
  <c r="Z71" i="1"/>
  <c r="E71" i="1" s="1"/>
  <c r="F180" i="1" l="1"/>
  <c r="G180" i="1"/>
  <c r="H180" i="1"/>
  <c r="I180" i="1"/>
  <c r="J180" i="1"/>
  <c r="K180" i="1"/>
  <c r="L180" i="1"/>
  <c r="M180" i="1"/>
  <c r="N180" i="1"/>
  <c r="P180" i="1"/>
  <c r="Q180" i="1"/>
  <c r="R180" i="1"/>
  <c r="S180" i="1"/>
  <c r="T180" i="1"/>
  <c r="U180" i="1"/>
  <c r="V180" i="1"/>
  <c r="W180" i="1"/>
  <c r="X180" i="1"/>
  <c r="Y180" i="1"/>
  <c r="AA180" i="1"/>
  <c r="E66" i="1"/>
  <c r="Z148" i="1"/>
  <c r="E148" i="1" s="1"/>
  <c r="Z65" i="1"/>
  <c r="E65" i="1" s="1"/>
  <c r="Z183" i="1"/>
  <c r="E183" i="1" s="1"/>
  <c r="O182" i="1"/>
  <c r="Z182" i="1" s="1"/>
  <c r="O180" i="1" l="1"/>
  <c r="E182" i="1"/>
  <c r="Z154" i="1" l="1"/>
  <c r="K137" i="3"/>
  <c r="J137" i="3" l="1"/>
  <c r="I137" i="3"/>
  <c r="BW140" i="3"/>
  <c r="AH140" i="3"/>
  <c r="AE140" i="3"/>
  <c r="T140" i="3"/>
  <c r="BU140" i="3" s="1"/>
  <c r="S140" i="3"/>
  <c r="AB140" i="3" s="1"/>
  <c r="G140" i="1"/>
  <c r="H140" i="1"/>
  <c r="I140" i="1"/>
  <c r="J140" i="1"/>
  <c r="K140" i="1"/>
  <c r="L140" i="1"/>
  <c r="M140" i="1"/>
  <c r="N140" i="1"/>
  <c r="P140" i="1"/>
  <c r="Q140" i="1"/>
  <c r="R140" i="1"/>
  <c r="S140" i="1"/>
  <c r="T140" i="1"/>
  <c r="U140" i="1"/>
  <c r="V140" i="1"/>
  <c r="W140" i="1"/>
  <c r="X140" i="1"/>
  <c r="Y140" i="1"/>
  <c r="AA140" i="1"/>
  <c r="F140" i="1"/>
  <c r="O143" i="1"/>
  <c r="Z143" i="1" s="1"/>
  <c r="O140" i="1" l="1"/>
  <c r="E143" i="1"/>
  <c r="D35" i="7" l="1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S12" i="7"/>
  <c r="D13" i="7"/>
  <c r="E13" i="7"/>
  <c r="F13" i="7"/>
  <c r="G13" i="7"/>
  <c r="H13" i="7"/>
  <c r="H12" i="7" s="1"/>
  <c r="I13" i="7"/>
  <c r="I12" i="7" s="1"/>
  <c r="J13" i="7"/>
  <c r="J12" i="7" s="1"/>
  <c r="K13" i="7"/>
  <c r="K12" i="7" s="1"/>
  <c r="L13" i="7"/>
  <c r="L12" i="7" s="1"/>
  <c r="M13" i="7"/>
  <c r="M12" i="7" s="1"/>
  <c r="N13" i="7"/>
  <c r="O13" i="7"/>
  <c r="O12" i="7" s="1"/>
  <c r="P13" i="7"/>
  <c r="Q13" i="7"/>
  <c r="R13" i="7"/>
  <c r="S13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30" i="7"/>
  <c r="C31" i="7"/>
  <c r="C32" i="7"/>
  <c r="C34" i="7"/>
  <c r="C33" i="7" s="1"/>
  <c r="C36" i="7"/>
  <c r="C35" i="7" s="1"/>
  <c r="C14" i="7"/>
  <c r="N12" i="7" l="1"/>
  <c r="R12" i="7"/>
  <c r="Q12" i="7"/>
  <c r="P12" i="7"/>
  <c r="G12" i="7"/>
  <c r="F12" i="7"/>
  <c r="E12" i="7"/>
  <c r="D12" i="7"/>
  <c r="C13" i="7"/>
  <c r="T103" i="3"/>
  <c r="S103" i="3"/>
  <c r="S102" i="3" s="1"/>
  <c r="T102" i="3"/>
  <c r="T101" i="3"/>
  <c r="S101" i="3"/>
  <c r="S100" i="3" s="1"/>
  <c r="U100" i="3"/>
  <c r="R100" i="3"/>
  <c r="Q100" i="3"/>
  <c r="P100" i="3"/>
  <c r="K100" i="3"/>
  <c r="J100" i="3"/>
  <c r="I100" i="3"/>
  <c r="T100" i="3" s="1"/>
  <c r="T99" i="3"/>
  <c r="S99" i="3"/>
  <c r="S98" i="3" s="1"/>
  <c r="U98" i="3"/>
  <c r="R98" i="3"/>
  <c r="Q98" i="3"/>
  <c r="P98" i="3"/>
  <c r="K98" i="3"/>
  <c r="J98" i="3"/>
  <c r="I98" i="3"/>
  <c r="T98" i="3" s="1"/>
  <c r="T97" i="3"/>
  <c r="S97" i="3"/>
  <c r="S96" i="3" s="1"/>
  <c r="U96" i="3"/>
  <c r="R96" i="3"/>
  <c r="Q96" i="3"/>
  <c r="P96" i="3"/>
  <c r="K96" i="3"/>
  <c r="J96" i="3"/>
  <c r="I96" i="3"/>
  <c r="T96" i="3" s="1"/>
  <c r="T95" i="3"/>
  <c r="S95" i="3"/>
  <c r="T94" i="3"/>
  <c r="S94" i="3"/>
  <c r="T93" i="3"/>
  <c r="S93" i="3"/>
  <c r="U92" i="3"/>
  <c r="R92" i="3"/>
  <c r="Q92" i="3"/>
  <c r="P92" i="3"/>
  <c r="K92" i="3"/>
  <c r="J92" i="3"/>
  <c r="I92" i="3"/>
  <c r="T92" i="3" s="1"/>
  <c r="S106" i="1"/>
  <c r="S105" i="1" s="1"/>
  <c r="Z104" i="1"/>
  <c r="E104" i="1" s="1"/>
  <c r="E103" i="1" s="1"/>
  <c r="AA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Z102" i="1"/>
  <c r="E102" i="1" s="1"/>
  <c r="E101" i="1" s="1"/>
  <c r="AA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Z100" i="1"/>
  <c r="Z99" i="1" s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Z98" i="1"/>
  <c r="E98" i="1" s="1"/>
  <c r="Z97" i="1"/>
  <c r="Z96" i="1"/>
  <c r="E96" i="1" s="1"/>
  <c r="AA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S92" i="3" l="1"/>
  <c r="E100" i="1"/>
  <c r="Z95" i="1"/>
  <c r="Z103" i="1"/>
  <c r="Z106" i="1"/>
  <c r="Z105" i="1" s="1"/>
  <c r="Z101" i="1"/>
  <c r="E97" i="1"/>
  <c r="E99" i="1" l="1"/>
  <c r="E95" i="1"/>
  <c r="E106" i="1"/>
  <c r="E105" i="1" s="1"/>
  <c r="O41" i="1" l="1"/>
  <c r="O40" i="1"/>
  <c r="O37" i="1"/>
  <c r="O35" i="1"/>
  <c r="O33" i="1"/>
  <c r="O24" i="1"/>
  <c r="O22" i="1"/>
  <c r="O21" i="1"/>
  <c r="I20" i="1"/>
  <c r="I18" i="1" s="1"/>
  <c r="S396" i="3" l="1"/>
  <c r="T396" i="3"/>
  <c r="U396" i="3" s="1"/>
  <c r="U385" i="3" s="1"/>
  <c r="P385" i="3"/>
  <c r="Q385" i="3"/>
  <c r="R385" i="3"/>
  <c r="O385" i="3"/>
  <c r="O336" i="3" s="1"/>
  <c r="J385" i="3"/>
  <c r="K385" i="3"/>
  <c r="I385" i="3"/>
  <c r="O398" i="1"/>
  <c r="Z399" i="1"/>
  <c r="E399" i="1" s="1"/>
  <c r="C22" i="5" l="1"/>
  <c r="O29" i="1"/>
  <c r="O18" i="1" s="1"/>
  <c r="S28" i="1"/>
  <c r="S18" i="1" s="1"/>
  <c r="T151" i="3" l="1"/>
  <c r="S151" i="3"/>
  <c r="E154" i="1" l="1"/>
  <c r="Z79" i="1" l="1"/>
  <c r="Z214" i="1"/>
  <c r="Z188" i="1" s="1"/>
  <c r="Z41" i="1"/>
  <c r="Z40" i="1"/>
  <c r="Z39" i="1"/>
  <c r="Z38" i="1"/>
  <c r="Z37" i="1"/>
  <c r="Z36" i="1"/>
  <c r="Z35" i="1"/>
  <c r="Z33" i="1"/>
  <c r="Z32" i="1"/>
  <c r="Z31" i="1"/>
  <c r="Z29" i="1"/>
  <c r="Z28" i="1"/>
  <c r="Z26" i="1"/>
  <c r="Z25" i="1"/>
  <c r="E25" i="1" s="1"/>
  <c r="Z24" i="1"/>
  <c r="Z20" i="1"/>
  <c r="Z34" i="1"/>
  <c r="Z27" i="1"/>
  <c r="Z261" i="1"/>
  <c r="Z260" i="1" s="1"/>
  <c r="Z30" i="1"/>
  <c r="Z23" i="1"/>
  <c r="Z22" i="1"/>
  <c r="Z21" i="1"/>
  <c r="E214" i="1" l="1"/>
  <c r="I65" i="3"/>
  <c r="U42" i="3"/>
  <c r="P42" i="3"/>
  <c r="Q42" i="3"/>
  <c r="R42" i="3"/>
  <c r="J42" i="3"/>
  <c r="K42" i="3"/>
  <c r="I42" i="3"/>
  <c r="T169" i="3"/>
  <c r="BW170" i="3"/>
  <c r="AH170" i="3"/>
  <c r="AE170" i="3"/>
  <c r="T170" i="3"/>
  <c r="BU170" i="3" s="1"/>
  <c r="S170" i="3"/>
  <c r="BW147" i="3"/>
  <c r="AH147" i="3"/>
  <c r="AE147" i="3"/>
  <c r="T147" i="3"/>
  <c r="BU147" i="3" s="1"/>
  <c r="S147" i="3"/>
  <c r="AB147" i="3" s="1"/>
  <c r="BW155" i="3"/>
  <c r="AH155" i="3"/>
  <c r="AE155" i="3"/>
  <c r="T155" i="3"/>
  <c r="BU155" i="3" s="1"/>
  <c r="S155" i="3"/>
  <c r="AB155" i="3" s="1"/>
  <c r="T135" i="3"/>
  <c r="S135" i="3"/>
  <c r="AE134" i="3"/>
  <c r="T134" i="3"/>
  <c r="BU134" i="3" s="1"/>
  <c r="S134" i="3"/>
  <c r="AB134" i="3" s="1"/>
  <c r="T110" i="3"/>
  <c r="S110" i="3"/>
  <c r="BW97" i="3"/>
  <c r="AH97" i="3"/>
  <c r="AE97" i="3"/>
  <c r="BU97" i="3"/>
  <c r="AB97" i="3"/>
  <c r="BW96" i="3"/>
  <c r="AH96" i="3"/>
  <c r="AE96" i="3"/>
  <c r="BU96" i="3"/>
  <c r="AB96" i="3"/>
  <c r="BU87" i="3"/>
  <c r="AB87" i="3"/>
  <c r="T61" i="3"/>
  <c r="S61" i="3"/>
  <c r="BW48" i="3"/>
  <c r="AH48" i="3"/>
  <c r="AE48" i="3"/>
  <c r="T48" i="3"/>
  <c r="BU48" i="3" s="1"/>
  <c r="S48" i="3"/>
  <c r="AB48" i="3" s="1"/>
  <c r="AB170" i="3" l="1"/>
  <c r="T39" i="3"/>
  <c r="S39" i="3"/>
  <c r="Z138" i="1"/>
  <c r="E138" i="1" s="1"/>
  <c r="O13" i="3" l="1"/>
  <c r="C8" i="5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T45" i="1"/>
  <c r="U45" i="1"/>
  <c r="V45" i="1"/>
  <c r="W45" i="1"/>
  <c r="X45" i="1"/>
  <c r="Y45" i="1"/>
  <c r="AA45" i="1"/>
  <c r="O76" i="1"/>
  <c r="O127" i="1"/>
  <c r="O124" i="1" s="1"/>
  <c r="S51" i="1"/>
  <c r="S45" i="1" s="1"/>
  <c r="Z113" i="1" l="1"/>
  <c r="E113" i="1" s="1"/>
  <c r="F160" i="1" l="1"/>
  <c r="F178" i="1"/>
  <c r="F184" i="1"/>
  <c r="F224" i="1"/>
  <c r="F279" i="1"/>
  <c r="F283" i="1"/>
  <c r="E42" i="1" l="1"/>
  <c r="S173" i="1" l="1"/>
  <c r="Z137" i="1"/>
  <c r="E137" i="1" s="1"/>
  <c r="Z173" i="1" l="1"/>
  <c r="S172" i="1"/>
  <c r="S64" i="1"/>
  <c r="S52" i="1" s="1"/>
  <c r="Z51" i="1"/>
  <c r="E51" i="1" s="1"/>
  <c r="E173" i="1" l="1"/>
  <c r="Z64" i="1"/>
  <c r="E64" i="1" s="1"/>
  <c r="Z158" i="1" l="1"/>
  <c r="E158" i="1" s="1"/>
  <c r="Z150" i="1"/>
  <c r="E150" i="1" s="1"/>
  <c r="T124" i="3" l="1"/>
  <c r="S124" i="3"/>
  <c r="Z127" i="1"/>
  <c r="Z120" i="1"/>
  <c r="Z119" i="1" s="1"/>
  <c r="E127" i="1" l="1"/>
  <c r="E120" i="1" l="1"/>
  <c r="E119" i="1" s="1"/>
  <c r="T166" i="3" l="1"/>
  <c r="T167" i="3"/>
  <c r="S166" i="3"/>
  <c r="S167" i="3"/>
  <c r="J169" i="1"/>
  <c r="Z170" i="1"/>
  <c r="E170" i="1" s="1"/>
  <c r="Z169" i="1" l="1"/>
  <c r="J162" i="1"/>
  <c r="T111" i="3"/>
  <c r="S111" i="3"/>
  <c r="T108" i="3"/>
  <c r="S108" i="3"/>
  <c r="S106" i="3"/>
  <c r="T106" i="3"/>
  <c r="T45" i="3" l="1"/>
  <c r="T46" i="3"/>
  <c r="T47" i="3"/>
  <c r="S47" i="3"/>
  <c r="S46" i="3"/>
  <c r="Z114" i="1" l="1"/>
  <c r="E114" i="1" s="1"/>
  <c r="Z111" i="1"/>
  <c r="E111" i="1" s="1"/>
  <c r="Z109" i="1"/>
  <c r="E109" i="1" l="1"/>
  <c r="Z50" i="1"/>
  <c r="E50" i="1" s="1"/>
  <c r="Z49" i="1"/>
  <c r="E49" i="1" s="1"/>
  <c r="U479" i="3"/>
  <c r="U177" i="3" l="1"/>
  <c r="U157" i="3"/>
  <c r="U175" i="3"/>
  <c r="U294" i="3"/>
  <c r="U448" i="3"/>
  <c r="U481" i="3"/>
  <c r="U477" i="3"/>
  <c r="U425" i="3"/>
  <c r="U334" i="3"/>
  <c r="U475" i="3"/>
  <c r="U319" i="3"/>
  <c r="U460" i="3"/>
  <c r="U483" i="3"/>
  <c r="U309" i="3" l="1"/>
  <c r="U419" i="3"/>
  <c r="U365" i="3"/>
  <c r="U411" i="3"/>
  <c r="U221" i="3"/>
  <c r="U65" i="3"/>
  <c r="U306" i="3"/>
  <c r="U181" i="3"/>
  <c r="U137" i="3"/>
  <c r="U276" i="3"/>
  <c r="U462" i="3"/>
  <c r="U331" i="3"/>
  <c r="Z290" i="1" l="1"/>
  <c r="Z288" i="1"/>
  <c r="Z286" i="1"/>
  <c r="Z284" i="1"/>
  <c r="Z282" i="1"/>
  <c r="Z281" i="1"/>
  <c r="Z280" i="1"/>
  <c r="Z421" i="1"/>
  <c r="Z419" i="1"/>
  <c r="Z417" i="1"/>
  <c r="Z416" i="1"/>
  <c r="Z415" i="1"/>
  <c r="Z274" i="1" l="1"/>
  <c r="Z273" i="1"/>
  <c r="Z278" i="1"/>
  <c r="Z277" i="1"/>
  <c r="Z276" i="1"/>
  <c r="Z275" i="1"/>
  <c r="Z272" i="1"/>
  <c r="Z271" i="1"/>
  <c r="Z270" i="1"/>
  <c r="Z269" i="1"/>
  <c r="Z268" i="1"/>
  <c r="Z267" i="1"/>
  <c r="Z266" i="1"/>
  <c r="Z265" i="1"/>
  <c r="Z264" i="1"/>
  <c r="Z263" i="1" l="1"/>
  <c r="F11" i="6"/>
  <c r="F10" i="6" s="1"/>
  <c r="E11" i="6"/>
  <c r="E10" i="6" s="1"/>
  <c r="D11" i="6"/>
  <c r="D10" i="6" s="1"/>
  <c r="B338" i="3" l="1"/>
  <c r="B186" i="3"/>
  <c r="B16" i="3"/>
  <c r="B341" i="1" l="1"/>
  <c r="B189" i="1"/>
  <c r="B19" i="1"/>
  <c r="U417" i="3"/>
  <c r="U415" i="3"/>
  <c r="U286" i="3"/>
  <c r="U284" i="3"/>
  <c r="U282" i="3"/>
  <c r="U280" i="3"/>
  <c r="P417" i="3" l="1"/>
  <c r="Q417" i="3"/>
  <c r="R417" i="3"/>
  <c r="P415" i="3"/>
  <c r="Q415" i="3"/>
  <c r="R415" i="3"/>
  <c r="P411" i="3"/>
  <c r="Q411" i="3"/>
  <c r="R411" i="3"/>
  <c r="P286" i="3"/>
  <c r="Q286" i="3"/>
  <c r="R286" i="3"/>
  <c r="P284" i="3"/>
  <c r="Q284" i="3"/>
  <c r="R284" i="3"/>
  <c r="P282" i="3"/>
  <c r="Q282" i="3"/>
  <c r="R282" i="3"/>
  <c r="P280" i="3"/>
  <c r="Q280" i="3"/>
  <c r="R280" i="3"/>
  <c r="P276" i="3"/>
  <c r="Q276" i="3"/>
  <c r="R276" i="3"/>
  <c r="J417" i="3"/>
  <c r="K417" i="3"/>
  <c r="I417" i="3"/>
  <c r="J415" i="3"/>
  <c r="K415" i="3"/>
  <c r="I415" i="3"/>
  <c r="J411" i="3"/>
  <c r="K411" i="3"/>
  <c r="I411" i="3"/>
  <c r="J286" i="3"/>
  <c r="K286" i="3"/>
  <c r="I286" i="3"/>
  <c r="J284" i="3"/>
  <c r="K284" i="3"/>
  <c r="I284" i="3"/>
  <c r="J282" i="3"/>
  <c r="K282" i="3"/>
  <c r="I282" i="3"/>
  <c r="J280" i="3"/>
  <c r="K280" i="3"/>
  <c r="I280" i="3"/>
  <c r="J276" i="3"/>
  <c r="K276" i="3"/>
  <c r="I276" i="3"/>
  <c r="T413" i="3" l="1"/>
  <c r="T414" i="3"/>
  <c r="T415" i="3"/>
  <c r="T416" i="3"/>
  <c r="T417" i="3"/>
  <c r="T418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411" i="3"/>
  <c r="T412" i="3"/>
  <c r="S277" i="3"/>
  <c r="S278" i="3"/>
  <c r="S279" i="3"/>
  <c r="S281" i="3"/>
  <c r="S280" i="3" s="1"/>
  <c r="S283" i="3"/>
  <c r="S282" i="3" s="1"/>
  <c r="S285" i="3"/>
  <c r="S284" i="3" s="1"/>
  <c r="S287" i="3"/>
  <c r="S286" i="3" s="1"/>
  <c r="S412" i="3"/>
  <c r="S413" i="3"/>
  <c r="S414" i="3"/>
  <c r="S416" i="3"/>
  <c r="S415" i="3" s="1"/>
  <c r="S418" i="3"/>
  <c r="S417" i="3" s="1"/>
  <c r="C15" i="5" l="1"/>
  <c r="S276" i="3"/>
  <c r="S411" i="3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E288" i="1"/>
  <c r="E286" i="1"/>
  <c r="E421" i="1"/>
  <c r="E419" i="1"/>
  <c r="E416" i="1"/>
  <c r="E417" i="1"/>
  <c r="E415" i="1"/>
  <c r="E290" i="1"/>
  <c r="E284" i="1"/>
  <c r="E281" i="1"/>
  <c r="E282" i="1"/>
  <c r="E280" i="1"/>
  <c r="E420" i="1" l="1"/>
  <c r="E285" i="1"/>
  <c r="E287" i="1"/>
  <c r="E283" i="1"/>
  <c r="E418" i="1"/>
  <c r="E289" i="1"/>
  <c r="E279" i="1"/>
  <c r="E414" i="1"/>
  <c r="T260" i="3" l="1"/>
  <c r="T261" i="3"/>
  <c r="T262" i="3"/>
  <c r="T263" i="3"/>
  <c r="T264" i="3"/>
  <c r="T265" i="3"/>
  <c r="T266" i="3"/>
  <c r="T267" i="3"/>
  <c r="T268" i="3"/>
  <c r="T269" i="3"/>
  <c r="T272" i="3"/>
  <c r="T273" i="3"/>
  <c r="T274" i="3"/>
  <c r="T275" i="3"/>
  <c r="S261" i="3"/>
  <c r="S262" i="3"/>
  <c r="S263" i="3"/>
  <c r="S264" i="3"/>
  <c r="S265" i="3"/>
  <c r="S266" i="3"/>
  <c r="S267" i="3"/>
  <c r="S268" i="3"/>
  <c r="S269" i="3"/>
  <c r="S272" i="3"/>
  <c r="S273" i="3"/>
  <c r="S274" i="3"/>
  <c r="S275" i="3"/>
  <c r="S260" i="3" l="1"/>
  <c r="E274" i="1" l="1"/>
  <c r="E273" i="1"/>
  <c r="E278" i="1"/>
  <c r="E277" i="1"/>
  <c r="E276" i="1"/>
  <c r="E275" i="1"/>
  <c r="E265" i="1"/>
  <c r="E266" i="1"/>
  <c r="E267" i="1"/>
  <c r="E268" i="1"/>
  <c r="E269" i="1"/>
  <c r="E270" i="1"/>
  <c r="E271" i="1"/>
  <c r="E272" i="1"/>
  <c r="E264" i="1"/>
  <c r="E263" i="1" l="1"/>
  <c r="I365" i="3" l="1"/>
  <c r="J365" i="3"/>
  <c r="K365" i="3"/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AA68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AA486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AA337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AA184" i="1"/>
  <c r="AA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AA482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AA480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AA478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AA334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AA178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AA465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AA324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AA463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AA322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AA160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AA451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AA312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AA309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AA428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AA297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AA422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AA291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AA368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AA224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AA374" i="1"/>
  <c r="R187" i="1" l="1"/>
  <c r="Y187" i="1"/>
  <c r="M187" i="1"/>
  <c r="O187" i="1"/>
  <c r="N187" i="1"/>
  <c r="AA187" i="1"/>
  <c r="Q17" i="1"/>
  <c r="Q187" i="1"/>
  <c r="P17" i="1"/>
  <c r="P187" i="1"/>
  <c r="O17" i="1"/>
  <c r="AA17" i="1"/>
  <c r="N17" i="1"/>
  <c r="Y17" i="1"/>
  <c r="M17" i="1"/>
  <c r="F187" i="1"/>
  <c r="X17" i="1"/>
  <c r="L17" i="1"/>
  <c r="X187" i="1"/>
  <c r="L187" i="1"/>
  <c r="W17" i="1"/>
  <c r="K17" i="1"/>
  <c r="W187" i="1"/>
  <c r="K187" i="1"/>
  <c r="V17" i="1"/>
  <c r="J17" i="1"/>
  <c r="V187" i="1"/>
  <c r="J187" i="1"/>
  <c r="U17" i="1"/>
  <c r="I17" i="1"/>
  <c r="U187" i="1"/>
  <c r="I187" i="1"/>
  <c r="T17" i="1"/>
  <c r="H17" i="1"/>
  <c r="T187" i="1"/>
  <c r="H187" i="1"/>
  <c r="S17" i="1"/>
  <c r="G17" i="1"/>
  <c r="S187" i="1"/>
  <c r="G187" i="1"/>
  <c r="R17" i="1"/>
  <c r="F17" i="1"/>
  <c r="Z151" i="1"/>
  <c r="Z454" i="1" l="1"/>
  <c r="Z159" i="1"/>
  <c r="Z474" i="1"/>
  <c r="E474" i="1" s="1"/>
  <c r="Z472" i="1"/>
  <c r="Z331" i="1"/>
  <c r="Z112" i="1"/>
  <c r="Z242" i="1"/>
  <c r="E242" i="1" s="1"/>
  <c r="Z46" i="1"/>
  <c r="Z47" i="1"/>
  <c r="Z48" i="1"/>
  <c r="Z372" i="1"/>
  <c r="Z373" i="1"/>
  <c r="Z293" i="1"/>
  <c r="Z117" i="1"/>
  <c r="Z296" i="1"/>
  <c r="Z118" i="1"/>
  <c r="Z126" i="1"/>
  <c r="Z300" i="1"/>
  <c r="Z302" i="1"/>
  <c r="Z303" i="1"/>
  <c r="Z437" i="1"/>
  <c r="Z130" i="1"/>
  <c r="Z133" i="1"/>
  <c r="Z306" i="1"/>
  <c r="Z307" i="1"/>
  <c r="Z308" i="1"/>
  <c r="Z310" i="1"/>
  <c r="Z443" i="1"/>
  <c r="Z445" i="1"/>
  <c r="Z446" i="1"/>
  <c r="Z141" i="1"/>
  <c r="Z164" i="1"/>
  <c r="Z165" i="1"/>
  <c r="Z168" i="1"/>
  <c r="Z326" i="1"/>
  <c r="Z327" i="1"/>
  <c r="Z328" i="1"/>
  <c r="Z470" i="1"/>
  <c r="Z174" i="1"/>
  <c r="Z175" i="1"/>
  <c r="Z332" i="1"/>
  <c r="Z333" i="1"/>
  <c r="Z473" i="1"/>
  <c r="Z335" i="1"/>
  <c r="Z336" i="1"/>
  <c r="Z481" i="1"/>
  <c r="Z480" i="1" s="1"/>
  <c r="Z485" i="1"/>
  <c r="Z484" i="1" s="1"/>
  <c r="Z186" i="1"/>
  <c r="Z146" i="1"/>
  <c r="Z147" i="1"/>
  <c r="Z153" i="1"/>
  <c r="Z155" i="1"/>
  <c r="Z157" i="1"/>
  <c r="Z149" i="1"/>
  <c r="Z317" i="1"/>
  <c r="Z321" i="1"/>
  <c r="Z455" i="1"/>
  <c r="Z456" i="1"/>
  <c r="Z457" i="1"/>
  <c r="Z458" i="1"/>
  <c r="Z460" i="1"/>
  <c r="Z462" i="1"/>
  <c r="Z74" i="1"/>
  <c r="Z76" i="1"/>
  <c r="Z77" i="1"/>
  <c r="Z250" i="1"/>
  <c r="Z251" i="1"/>
  <c r="Z258" i="1"/>
  <c r="Z389" i="1"/>
  <c r="Z390" i="1"/>
  <c r="Z391" i="1"/>
  <c r="Z392" i="1"/>
  <c r="Z396" i="1"/>
  <c r="Z398" i="1"/>
  <c r="Z295" i="1"/>
  <c r="Z294" i="1" s="1"/>
  <c r="Z431" i="1"/>
  <c r="Z131" i="1"/>
  <c r="Z166" i="1"/>
  <c r="Z179" i="1"/>
  <c r="Z178" i="1" s="1"/>
  <c r="Z479" i="1"/>
  <c r="Z478" i="1" s="1"/>
  <c r="Z156" i="1"/>
  <c r="Z254" i="1"/>
  <c r="Z305" i="1" l="1"/>
  <c r="Z453" i="1"/>
  <c r="Z152" i="1"/>
  <c r="E130" i="1"/>
  <c r="Z45" i="1"/>
  <c r="E46" i="1"/>
  <c r="E331" i="1"/>
  <c r="Z334" i="1"/>
  <c r="E159" i="1"/>
  <c r="Z301" i="1"/>
  <c r="E301" i="1" s="1"/>
  <c r="Z244" i="1"/>
  <c r="E244" i="1" s="1"/>
  <c r="Z236" i="1"/>
  <c r="E236" i="1" s="1"/>
  <c r="Z380" i="1"/>
  <c r="E380" i="1" s="1"/>
  <c r="Z238" i="1"/>
  <c r="E238" i="1" s="1"/>
  <c r="Z57" i="1"/>
  <c r="E57" i="1" s="1"/>
  <c r="Z379" i="1"/>
  <c r="E379" i="1" s="1"/>
  <c r="Z237" i="1"/>
  <c r="E237" i="1" s="1"/>
  <c r="Z56" i="1"/>
  <c r="E56" i="1" s="1"/>
  <c r="Z241" i="1"/>
  <c r="E241" i="1" s="1"/>
  <c r="Z240" i="1"/>
  <c r="E240" i="1" s="1"/>
  <c r="Z55" i="1"/>
  <c r="E55" i="1" s="1"/>
  <c r="Z378" i="1"/>
  <c r="E378" i="1" s="1"/>
  <c r="Z234" i="1"/>
  <c r="E234" i="1" s="1"/>
  <c r="Z381" i="1"/>
  <c r="E381" i="1" s="1"/>
  <c r="Z60" i="1"/>
  <c r="E60" i="1" s="1"/>
  <c r="Z239" i="1"/>
  <c r="E239" i="1" s="1"/>
  <c r="Z377" i="1"/>
  <c r="Z233" i="1"/>
  <c r="E233" i="1" s="1"/>
  <c r="Z59" i="1"/>
  <c r="E59" i="1" s="1"/>
  <c r="Z385" i="1"/>
  <c r="E385" i="1" s="1"/>
  <c r="Z382" i="1"/>
  <c r="E382" i="1" s="1"/>
  <c r="Z376" i="1"/>
  <c r="E376" i="1" s="1"/>
  <c r="Z231" i="1"/>
  <c r="E231" i="1" s="1"/>
  <c r="Z375" i="1"/>
  <c r="Z230" i="1"/>
  <c r="Z384" i="1"/>
  <c r="Z232" i="1"/>
  <c r="E232" i="1" s="1"/>
  <c r="Z58" i="1"/>
  <c r="E58" i="1" s="1"/>
  <c r="Z387" i="1"/>
  <c r="Z63" i="1"/>
  <c r="E63" i="1" s="1"/>
  <c r="Z383" i="1"/>
  <c r="Z386" i="1"/>
  <c r="Z245" i="1"/>
  <c r="E245" i="1" s="1"/>
  <c r="Z62" i="1"/>
  <c r="E62" i="1" s="1"/>
  <c r="Z243" i="1"/>
  <c r="E243" i="1" s="1"/>
  <c r="Z61" i="1"/>
  <c r="E61" i="1" s="1"/>
  <c r="Z54" i="1"/>
  <c r="E54" i="1" s="1"/>
  <c r="Z53" i="1"/>
  <c r="E454" i="1"/>
  <c r="E472" i="1"/>
  <c r="E328" i="1"/>
  <c r="Z249" i="1"/>
  <c r="E133" i="1"/>
  <c r="E155" i="1"/>
  <c r="E112" i="1"/>
  <c r="E455" i="1"/>
  <c r="Z132" i="1"/>
  <c r="E132" i="1" s="1"/>
  <c r="Z444" i="1"/>
  <c r="Z442" i="1" s="1"/>
  <c r="Z167" i="1"/>
  <c r="E167" i="1" s="1"/>
  <c r="E457" i="1"/>
  <c r="E165" i="1"/>
  <c r="Z426" i="1"/>
  <c r="Z477" i="1"/>
  <c r="E392" i="1"/>
  <c r="E336" i="1"/>
  <c r="Z225" i="1"/>
  <c r="Z110" i="1"/>
  <c r="Z108" i="1" s="1"/>
  <c r="Z304" i="1"/>
  <c r="Z325" i="1"/>
  <c r="Z176" i="1"/>
  <c r="Z172" i="1" s="1"/>
  <c r="Z483" i="1"/>
  <c r="Z393" i="1"/>
  <c r="E393" i="1" s="1"/>
  <c r="Z128" i="1"/>
  <c r="E157" i="1"/>
  <c r="Z75" i="1"/>
  <c r="E75" i="1" s="1"/>
  <c r="E179" i="1"/>
  <c r="E306" i="1"/>
  <c r="E456" i="1"/>
  <c r="E251" i="1"/>
  <c r="Z226" i="1"/>
  <c r="E226" i="1" s="1"/>
  <c r="Z292" i="1"/>
  <c r="Z298" i="1"/>
  <c r="E308" i="1"/>
  <c r="Z330" i="1"/>
  <c r="Z329" i="1" s="1"/>
  <c r="Z461" i="1"/>
  <c r="Z459" i="1" s="1"/>
  <c r="Z252" i="1"/>
  <c r="E252" i="1" s="1"/>
  <c r="Z394" i="1"/>
  <c r="E394" i="1" s="1"/>
  <c r="E166" i="1"/>
  <c r="E131" i="1"/>
  <c r="E390" i="1"/>
  <c r="E153" i="1"/>
  <c r="Z227" i="1"/>
  <c r="E227" i="1" s="1"/>
  <c r="Z429" i="1"/>
  <c r="Z432" i="1"/>
  <c r="E432" i="1" s="1"/>
  <c r="Z439" i="1"/>
  <c r="Z142" i="1"/>
  <c r="E142" i="1" s="1"/>
  <c r="Z185" i="1"/>
  <c r="E151" i="1"/>
  <c r="Z253" i="1"/>
  <c r="E253" i="1" s="1"/>
  <c r="Z395" i="1"/>
  <c r="E395" i="1" s="1"/>
  <c r="E117" i="1"/>
  <c r="E389" i="1"/>
  <c r="E175" i="1"/>
  <c r="E141" i="1"/>
  <c r="E307" i="1"/>
  <c r="E302" i="1"/>
  <c r="E373" i="1"/>
  <c r="E47" i="1"/>
  <c r="Z228" i="1"/>
  <c r="E228" i="1" s="1"/>
  <c r="Z423" i="1"/>
  <c r="Z433" i="1"/>
  <c r="E433" i="1" s="1"/>
  <c r="Z440" i="1"/>
  <c r="Z313" i="1"/>
  <c r="Z466" i="1"/>
  <c r="Z316" i="1"/>
  <c r="Z315" i="1" s="1"/>
  <c r="E149" i="1"/>
  <c r="E254" i="1"/>
  <c r="E446" i="1"/>
  <c r="E462" i="1"/>
  <c r="E147" i="1"/>
  <c r="E485" i="1"/>
  <c r="E327" i="1"/>
  <c r="E293" i="1"/>
  <c r="Z369" i="1"/>
  <c r="Z424" i="1"/>
  <c r="E424" i="1" s="1"/>
  <c r="Z125" i="1"/>
  <c r="Z434" i="1"/>
  <c r="E434" i="1" s="1"/>
  <c r="Z441" i="1"/>
  <c r="Z314" i="1"/>
  <c r="E314" i="1" s="1"/>
  <c r="Z467" i="1"/>
  <c r="E467" i="1" s="1"/>
  <c r="Z338" i="1"/>
  <c r="Z69" i="1"/>
  <c r="E69" i="1" s="1"/>
  <c r="Z255" i="1"/>
  <c r="E255" i="1" s="1"/>
  <c r="Z397" i="1"/>
  <c r="E397" i="1" s="1"/>
  <c r="E396" i="1"/>
  <c r="Z311" i="1"/>
  <c r="E311" i="1" s="1"/>
  <c r="E335" i="1"/>
  <c r="E156" i="1"/>
  <c r="E118" i="1"/>
  <c r="E146" i="1"/>
  <c r="E295" i="1"/>
  <c r="E77" i="1"/>
  <c r="E174" i="1"/>
  <c r="E326" i="1"/>
  <c r="E300" i="1"/>
  <c r="Z370" i="1"/>
  <c r="E370" i="1" s="1"/>
  <c r="Z116" i="1"/>
  <c r="Z115" i="1" s="1"/>
  <c r="Z435" i="1"/>
  <c r="E435" i="1" s="1"/>
  <c r="Z135" i="1"/>
  <c r="Z452" i="1"/>
  <c r="Z468" i="1"/>
  <c r="E468" i="1" s="1"/>
  <c r="Z475" i="1"/>
  <c r="E475" i="1" s="1"/>
  <c r="Z487" i="1"/>
  <c r="Z319" i="1"/>
  <c r="Z318" i="1" s="1"/>
  <c r="Z70" i="1"/>
  <c r="E70" i="1" s="1"/>
  <c r="Z256" i="1"/>
  <c r="E256" i="1" s="1"/>
  <c r="E445" i="1"/>
  <c r="E460" i="1"/>
  <c r="E391" i="1"/>
  <c r="E333" i="1"/>
  <c r="E76" i="1"/>
  <c r="E186" i="1"/>
  <c r="E443" i="1"/>
  <c r="E431" i="1"/>
  <c r="E398" i="1"/>
  <c r="E332" i="1"/>
  <c r="Z371" i="1"/>
  <c r="E371" i="1" s="1"/>
  <c r="Z427" i="1"/>
  <c r="E427" i="1" s="1"/>
  <c r="Z436" i="1"/>
  <c r="Z136" i="1"/>
  <c r="E136" i="1" s="1"/>
  <c r="Z163" i="1"/>
  <c r="Z469" i="1"/>
  <c r="E469" i="1" s="1"/>
  <c r="Z476" i="1"/>
  <c r="Z145" i="1"/>
  <c r="Z144" i="1" s="1"/>
  <c r="Z320" i="1"/>
  <c r="Z72" i="1"/>
  <c r="E72" i="1" s="1"/>
  <c r="Z257" i="1"/>
  <c r="E257" i="1" s="1"/>
  <c r="E74" i="1"/>
  <c r="E481" i="1"/>
  <c r="E168" i="1"/>
  <c r="E470" i="1"/>
  <c r="E458" i="1"/>
  <c r="E317" i="1"/>
  <c r="E164" i="1"/>
  <c r="E126" i="1"/>
  <c r="E48" i="1"/>
  <c r="E250" i="1"/>
  <c r="E310" i="1"/>
  <c r="E437" i="1"/>
  <c r="E303" i="1"/>
  <c r="E258" i="1"/>
  <c r="E473" i="1"/>
  <c r="E296" i="1"/>
  <c r="E372" i="1"/>
  <c r="E321" i="1"/>
  <c r="U288" i="3"/>
  <c r="Z52" i="1" l="1"/>
  <c r="Z162" i="1"/>
  <c r="Z438" i="1"/>
  <c r="E129" i="1"/>
  <c r="Z129" i="1"/>
  <c r="E305" i="1"/>
  <c r="Z124" i="1"/>
  <c r="E453" i="1"/>
  <c r="E152" i="1"/>
  <c r="Z430" i="1"/>
  <c r="Z299" i="1"/>
  <c r="E294" i="1"/>
  <c r="Z425" i="1"/>
  <c r="Z248" i="1"/>
  <c r="Z134" i="1"/>
  <c r="Z471" i="1"/>
  <c r="E68" i="1"/>
  <c r="E140" i="1"/>
  <c r="Z140" i="1"/>
  <c r="E45" i="1"/>
  <c r="E375" i="1"/>
  <c r="Z374" i="1"/>
  <c r="E230" i="1"/>
  <c r="E429" i="1"/>
  <c r="Z428" i="1"/>
  <c r="E476" i="1"/>
  <c r="E452" i="1"/>
  <c r="Z451" i="1"/>
  <c r="E298" i="1"/>
  <c r="Z297" i="1"/>
  <c r="E176" i="1"/>
  <c r="E172" i="1" s="1"/>
  <c r="E426" i="1"/>
  <c r="E425" i="1" s="1"/>
  <c r="E116" i="1"/>
  <c r="E115" i="1" s="1"/>
  <c r="E369" i="1"/>
  <c r="Z368" i="1"/>
  <c r="E466" i="1"/>
  <c r="Z465" i="1"/>
  <c r="Z68" i="1"/>
  <c r="E163" i="1"/>
  <c r="E436" i="1"/>
  <c r="E430" i="1" s="1"/>
  <c r="E313" i="1"/>
  <c r="Z312" i="1"/>
  <c r="E110" i="1"/>
  <c r="E108" i="1" s="1"/>
  <c r="E440" i="1"/>
  <c r="E225" i="1"/>
  <c r="Z224" i="1"/>
  <c r="E444" i="1"/>
  <c r="E442" i="1" s="1"/>
  <c r="E325" i="1"/>
  <c r="Z324" i="1"/>
  <c r="E304" i="1"/>
  <c r="E299" i="1" s="1"/>
  <c r="E292" i="1"/>
  <c r="Z291" i="1"/>
  <c r="Z309" i="1"/>
  <c r="E135" i="1"/>
  <c r="E134" i="1" s="1"/>
  <c r="E319" i="1"/>
  <c r="E338" i="1"/>
  <c r="Z337" i="1"/>
  <c r="E423" i="1"/>
  <c r="Z422" i="1"/>
  <c r="E487" i="1"/>
  <c r="Z486" i="1"/>
  <c r="E185" i="1"/>
  <c r="Z184" i="1"/>
  <c r="E461" i="1"/>
  <c r="E459" i="1" s="1"/>
  <c r="E128" i="1"/>
  <c r="E316" i="1"/>
  <c r="E315" i="1" s="1"/>
  <c r="E320" i="1"/>
  <c r="E330" i="1"/>
  <c r="E329" i="1" s="1"/>
  <c r="E125" i="1"/>
  <c r="E145" i="1"/>
  <c r="E144" i="1" s="1"/>
  <c r="E441" i="1"/>
  <c r="E439" i="1"/>
  <c r="E483" i="1"/>
  <c r="Z482" i="1"/>
  <c r="E477" i="1"/>
  <c r="E53" i="1"/>
  <c r="E52" i="1" s="1"/>
  <c r="E387" i="1"/>
  <c r="E383" i="1"/>
  <c r="E386" i="1"/>
  <c r="E377" i="1"/>
  <c r="E384" i="1"/>
  <c r="Z235" i="1"/>
  <c r="E235" i="1" s="1"/>
  <c r="E249" i="1"/>
  <c r="E248" i="1" s="1"/>
  <c r="S65" i="3"/>
  <c r="AB63" i="3" s="1"/>
  <c r="S66" i="3"/>
  <c r="S67" i="3"/>
  <c r="S68" i="3"/>
  <c r="S69" i="3"/>
  <c r="S70" i="3"/>
  <c r="S71" i="3"/>
  <c r="S72" i="3"/>
  <c r="S73" i="3"/>
  <c r="S74" i="3"/>
  <c r="S246" i="3"/>
  <c r="S247" i="3"/>
  <c r="S248" i="3"/>
  <c r="S249" i="3"/>
  <c r="S250" i="3"/>
  <c r="S251" i="3"/>
  <c r="S252" i="3"/>
  <c r="S253" i="3"/>
  <c r="S254" i="3"/>
  <c r="S255" i="3"/>
  <c r="S386" i="3"/>
  <c r="S387" i="3"/>
  <c r="S388" i="3"/>
  <c r="S389" i="3"/>
  <c r="S390" i="3"/>
  <c r="S391" i="3"/>
  <c r="S392" i="3"/>
  <c r="S393" i="3"/>
  <c r="S394" i="3"/>
  <c r="S395" i="3"/>
  <c r="T66" i="3"/>
  <c r="T67" i="3"/>
  <c r="T68" i="3"/>
  <c r="T69" i="3"/>
  <c r="T70" i="3"/>
  <c r="T71" i="3"/>
  <c r="T72" i="3"/>
  <c r="T73" i="3"/>
  <c r="T74" i="3"/>
  <c r="T247" i="3"/>
  <c r="T248" i="3"/>
  <c r="T249" i="3"/>
  <c r="T250" i="3"/>
  <c r="T251" i="3"/>
  <c r="T252" i="3"/>
  <c r="T253" i="3"/>
  <c r="T254" i="3"/>
  <c r="T255" i="3"/>
  <c r="T386" i="3"/>
  <c r="T387" i="3"/>
  <c r="T388" i="3"/>
  <c r="T389" i="3"/>
  <c r="T390" i="3"/>
  <c r="T391" i="3"/>
  <c r="T392" i="3"/>
  <c r="T393" i="3"/>
  <c r="T394" i="3"/>
  <c r="T395" i="3"/>
  <c r="E438" i="1" l="1"/>
  <c r="E318" i="1"/>
  <c r="E124" i="1"/>
  <c r="S245" i="3"/>
  <c r="E229" i="1"/>
  <c r="Z229" i="1"/>
  <c r="E471" i="1"/>
  <c r="S385" i="3"/>
  <c r="E184" i="1"/>
  <c r="T246" i="3"/>
  <c r="K65" i="3"/>
  <c r="J65" i="3"/>
  <c r="T245" i="3" l="1"/>
  <c r="T385" i="3"/>
  <c r="T65" i="3"/>
  <c r="T178" i="3"/>
  <c r="S178" i="3"/>
  <c r="S177" i="3" s="1"/>
  <c r="Z181" i="1"/>
  <c r="Z180" i="1" s="1"/>
  <c r="I75" i="3"/>
  <c r="I294" i="3"/>
  <c r="I425" i="3"/>
  <c r="I448" i="3"/>
  <c r="I157" i="3"/>
  <c r="I319" i="3"/>
  <c r="I460" i="3"/>
  <c r="I175" i="3"/>
  <c r="I475" i="3"/>
  <c r="I477" i="3"/>
  <c r="I479" i="3"/>
  <c r="I481" i="3"/>
  <c r="I334" i="3"/>
  <c r="I483" i="3"/>
  <c r="J75" i="3"/>
  <c r="K75" i="3"/>
  <c r="J294" i="3"/>
  <c r="K294" i="3"/>
  <c r="J425" i="3"/>
  <c r="K425" i="3"/>
  <c r="J448" i="3"/>
  <c r="K448" i="3"/>
  <c r="J157" i="3"/>
  <c r="K157" i="3"/>
  <c r="J319" i="3"/>
  <c r="K319" i="3"/>
  <c r="J460" i="3"/>
  <c r="K460" i="3"/>
  <c r="J175" i="3"/>
  <c r="K175" i="3"/>
  <c r="J475" i="3"/>
  <c r="K475" i="3"/>
  <c r="J477" i="3"/>
  <c r="K477" i="3"/>
  <c r="J479" i="3"/>
  <c r="K479" i="3"/>
  <c r="J481" i="3"/>
  <c r="K481" i="3"/>
  <c r="J334" i="3"/>
  <c r="K334" i="3"/>
  <c r="J483" i="3"/>
  <c r="K483" i="3"/>
  <c r="C11" i="6" l="1"/>
  <c r="C10" i="6" s="1"/>
  <c r="E181" i="1"/>
  <c r="E180" i="1" s="1"/>
  <c r="T177" i="3"/>
  <c r="K306" i="3"/>
  <c r="K419" i="3"/>
  <c r="I181" i="3"/>
  <c r="I14" i="3" s="1"/>
  <c r="J419" i="3"/>
  <c r="J306" i="3"/>
  <c r="K462" i="3"/>
  <c r="J462" i="3"/>
  <c r="K181" i="3"/>
  <c r="K14" i="3" s="1"/>
  <c r="J181" i="3"/>
  <c r="J14" i="3" s="1"/>
  <c r="I331" i="3"/>
  <c r="K321" i="3"/>
  <c r="K309" i="3"/>
  <c r="I419" i="3"/>
  <c r="J321" i="3"/>
  <c r="J309" i="3"/>
  <c r="I462" i="3"/>
  <c r="I306" i="3"/>
  <c r="I321" i="3"/>
  <c r="I309" i="3"/>
  <c r="K371" i="3"/>
  <c r="K288" i="3"/>
  <c r="J288" i="3"/>
  <c r="J371" i="3"/>
  <c r="J331" i="3"/>
  <c r="K221" i="3"/>
  <c r="I371" i="3"/>
  <c r="K331" i="3"/>
  <c r="J221" i="3"/>
  <c r="I288" i="3"/>
  <c r="I221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338" i="3"/>
  <c r="T339" i="3"/>
  <c r="T341" i="3"/>
  <c r="T342" i="3"/>
  <c r="T343" i="3"/>
  <c r="T344" i="3"/>
  <c r="T345" i="3"/>
  <c r="T346" i="3"/>
  <c r="T347" i="3"/>
  <c r="T340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50" i="3"/>
  <c r="T51" i="3"/>
  <c r="T52" i="3"/>
  <c r="T53" i="3"/>
  <c r="T54" i="3"/>
  <c r="T55" i="3"/>
  <c r="T56" i="3"/>
  <c r="T57" i="3"/>
  <c r="T58" i="3"/>
  <c r="T59" i="3"/>
  <c r="T60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76" i="3"/>
  <c r="T258" i="3"/>
  <c r="T43" i="3"/>
  <c r="T44" i="3"/>
  <c r="T222" i="3"/>
  <c r="T223" i="3"/>
  <c r="T224" i="3"/>
  <c r="T225" i="3"/>
  <c r="T366" i="3"/>
  <c r="T367" i="3"/>
  <c r="T368" i="3"/>
  <c r="T369" i="3"/>
  <c r="T370" i="3"/>
  <c r="T107" i="3"/>
  <c r="T109" i="3"/>
  <c r="T289" i="3"/>
  <c r="T290" i="3"/>
  <c r="T420" i="3"/>
  <c r="T421" i="3"/>
  <c r="T113" i="3"/>
  <c r="T424" i="3"/>
  <c r="T114" i="3"/>
  <c r="T292" i="3"/>
  <c r="T293" i="3"/>
  <c r="T115" i="3"/>
  <c r="T423" i="3"/>
  <c r="T117" i="3"/>
  <c r="T295" i="3"/>
  <c r="T426" i="3"/>
  <c r="T122" i="3"/>
  <c r="T123" i="3"/>
  <c r="T125" i="3"/>
  <c r="T297" i="3"/>
  <c r="T298" i="3"/>
  <c r="T299" i="3"/>
  <c r="T300" i="3"/>
  <c r="T301" i="3"/>
  <c r="T428" i="3"/>
  <c r="T429" i="3"/>
  <c r="T430" i="3"/>
  <c r="T431" i="3"/>
  <c r="T434" i="3"/>
  <c r="T127" i="3"/>
  <c r="T128" i="3"/>
  <c r="T129" i="3"/>
  <c r="T130" i="3"/>
  <c r="T303" i="3"/>
  <c r="T304" i="3"/>
  <c r="T305" i="3"/>
  <c r="T436" i="3"/>
  <c r="T437" i="3"/>
  <c r="T438" i="3"/>
  <c r="T132" i="3"/>
  <c r="T133" i="3"/>
  <c r="T307" i="3"/>
  <c r="T308" i="3"/>
  <c r="T440" i="3"/>
  <c r="T441" i="3"/>
  <c r="T442" i="3"/>
  <c r="T443" i="3"/>
  <c r="T138" i="3"/>
  <c r="T139" i="3"/>
  <c r="T310" i="3"/>
  <c r="T311" i="3"/>
  <c r="T449" i="3"/>
  <c r="T158" i="3"/>
  <c r="T320" i="3"/>
  <c r="T461" i="3"/>
  <c r="T160" i="3"/>
  <c r="T161" i="3"/>
  <c r="T162" i="3"/>
  <c r="T163" i="3"/>
  <c r="T164" i="3"/>
  <c r="T165" i="3"/>
  <c r="T322" i="3"/>
  <c r="T323" i="3"/>
  <c r="T324" i="3"/>
  <c r="T325" i="3"/>
  <c r="T463" i="3"/>
  <c r="T464" i="3"/>
  <c r="T465" i="3"/>
  <c r="T466" i="3"/>
  <c r="T467" i="3"/>
  <c r="T171" i="3"/>
  <c r="T172" i="3"/>
  <c r="T173" i="3"/>
  <c r="T327" i="3"/>
  <c r="T328" i="3"/>
  <c r="T329" i="3"/>
  <c r="T330" i="3"/>
  <c r="T469" i="3"/>
  <c r="T470" i="3"/>
  <c r="T471" i="3"/>
  <c r="T472" i="3"/>
  <c r="T473" i="3"/>
  <c r="T474" i="3"/>
  <c r="T176" i="3"/>
  <c r="T332" i="3"/>
  <c r="T333" i="3"/>
  <c r="T476" i="3"/>
  <c r="T478" i="3"/>
  <c r="T480" i="3"/>
  <c r="T482" i="3"/>
  <c r="T182" i="3"/>
  <c r="T183" i="3"/>
  <c r="T335" i="3"/>
  <c r="T484" i="3"/>
  <c r="T142" i="3"/>
  <c r="T143" i="3"/>
  <c r="T144" i="3"/>
  <c r="T150" i="3"/>
  <c r="T152" i="3"/>
  <c r="T153" i="3"/>
  <c r="T154" i="3"/>
  <c r="T156" i="3"/>
  <c r="T146" i="3"/>
  <c r="T148" i="3"/>
  <c r="T313" i="3"/>
  <c r="T314" i="3"/>
  <c r="T316" i="3"/>
  <c r="T317" i="3"/>
  <c r="T318" i="3"/>
  <c r="T451" i="3"/>
  <c r="T452" i="3"/>
  <c r="T453" i="3"/>
  <c r="T454" i="3"/>
  <c r="T455" i="3"/>
  <c r="T457" i="3"/>
  <c r="T458" i="3"/>
  <c r="T459" i="3"/>
  <c r="I184" i="3" l="1"/>
  <c r="J184" i="3"/>
  <c r="I336" i="3"/>
  <c r="K184" i="3"/>
  <c r="J336" i="3"/>
  <c r="K336" i="3"/>
  <c r="U321" i="3"/>
  <c r="U371" i="3"/>
  <c r="P483" i="3"/>
  <c r="Q483" i="3"/>
  <c r="R483" i="3"/>
  <c r="P334" i="3"/>
  <c r="Q334" i="3"/>
  <c r="R334" i="3"/>
  <c r="P181" i="3"/>
  <c r="Q181" i="3"/>
  <c r="R181" i="3"/>
  <c r="P481" i="3"/>
  <c r="Q481" i="3"/>
  <c r="R481" i="3"/>
  <c r="P479" i="3"/>
  <c r="Q479" i="3"/>
  <c r="R479" i="3"/>
  <c r="P477" i="3"/>
  <c r="Q477" i="3"/>
  <c r="R477" i="3"/>
  <c r="P475" i="3"/>
  <c r="Q475" i="3"/>
  <c r="R475" i="3"/>
  <c r="P331" i="3"/>
  <c r="Q331" i="3"/>
  <c r="R331" i="3"/>
  <c r="P175" i="3"/>
  <c r="Q175" i="3"/>
  <c r="R175" i="3"/>
  <c r="P462" i="3"/>
  <c r="Q462" i="3"/>
  <c r="R462" i="3"/>
  <c r="P321" i="3"/>
  <c r="Q321" i="3"/>
  <c r="R321" i="3"/>
  <c r="P460" i="3"/>
  <c r="Q460" i="3"/>
  <c r="R460" i="3"/>
  <c r="P319" i="3"/>
  <c r="Q319" i="3"/>
  <c r="R319" i="3"/>
  <c r="P157" i="3"/>
  <c r="Q157" i="3"/>
  <c r="R157" i="3"/>
  <c r="P448" i="3"/>
  <c r="Q448" i="3"/>
  <c r="R448" i="3"/>
  <c r="P309" i="3"/>
  <c r="Q309" i="3"/>
  <c r="R309" i="3"/>
  <c r="P137" i="3"/>
  <c r="Q137" i="3"/>
  <c r="R137" i="3"/>
  <c r="P306" i="3"/>
  <c r="Q306" i="3"/>
  <c r="R306" i="3"/>
  <c r="P425" i="3"/>
  <c r="Q425" i="3"/>
  <c r="R425" i="3"/>
  <c r="P294" i="3"/>
  <c r="Q294" i="3"/>
  <c r="R294" i="3"/>
  <c r="P419" i="3"/>
  <c r="Q419" i="3"/>
  <c r="R419" i="3"/>
  <c r="P288" i="3"/>
  <c r="Q288" i="3"/>
  <c r="R288" i="3"/>
  <c r="P365" i="3"/>
  <c r="Q365" i="3"/>
  <c r="R365" i="3"/>
  <c r="P221" i="3"/>
  <c r="Q221" i="3"/>
  <c r="R221" i="3"/>
  <c r="P75" i="3"/>
  <c r="Q75" i="3"/>
  <c r="R75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338" i="3"/>
  <c r="S339" i="3"/>
  <c r="S341" i="3"/>
  <c r="S342" i="3"/>
  <c r="S343" i="3"/>
  <c r="S344" i="3"/>
  <c r="S345" i="3"/>
  <c r="S346" i="3"/>
  <c r="S347" i="3"/>
  <c r="S340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50" i="3"/>
  <c r="S51" i="3"/>
  <c r="S52" i="3"/>
  <c r="S53" i="3"/>
  <c r="S54" i="3"/>
  <c r="S55" i="3"/>
  <c r="S56" i="3"/>
  <c r="S57" i="3"/>
  <c r="S58" i="3"/>
  <c r="S59" i="3"/>
  <c r="S60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76" i="3"/>
  <c r="S75" i="3" s="1"/>
  <c r="S258" i="3"/>
  <c r="S257" i="3" s="1"/>
  <c r="S43" i="3"/>
  <c r="S44" i="3"/>
  <c r="S45" i="3"/>
  <c r="S222" i="3"/>
  <c r="S223" i="3"/>
  <c r="S224" i="3"/>
  <c r="S225" i="3"/>
  <c r="S366" i="3"/>
  <c r="S367" i="3"/>
  <c r="S368" i="3"/>
  <c r="S369" i="3"/>
  <c r="S370" i="3"/>
  <c r="S107" i="3"/>
  <c r="S109" i="3"/>
  <c r="S289" i="3"/>
  <c r="S290" i="3"/>
  <c r="S420" i="3"/>
  <c r="S421" i="3"/>
  <c r="S113" i="3"/>
  <c r="S424" i="3"/>
  <c r="S114" i="3"/>
  <c r="S292" i="3"/>
  <c r="S293" i="3"/>
  <c r="S115" i="3"/>
  <c r="S423" i="3"/>
  <c r="S117" i="3"/>
  <c r="S116" i="3" s="1"/>
  <c r="S295" i="3"/>
  <c r="S294" i="3" s="1"/>
  <c r="S426" i="3"/>
  <c r="S425" i="3" s="1"/>
  <c r="S122" i="3"/>
  <c r="S123" i="3"/>
  <c r="S125" i="3"/>
  <c r="S297" i="3"/>
  <c r="S298" i="3"/>
  <c r="S299" i="3"/>
  <c r="S300" i="3"/>
  <c r="S301" i="3"/>
  <c r="S428" i="3"/>
  <c r="S429" i="3"/>
  <c r="S430" i="3"/>
  <c r="S431" i="3"/>
  <c r="S434" i="3"/>
  <c r="S127" i="3"/>
  <c r="S128" i="3"/>
  <c r="S129" i="3"/>
  <c r="S130" i="3"/>
  <c r="S303" i="3"/>
  <c r="S304" i="3"/>
  <c r="S305" i="3"/>
  <c r="S436" i="3"/>
  <c r="S437" i="3"/>
  <c r="S438" i="3"/>
  <c r="S132" i="3"/>
  <c r="S133" i="3"/>
  <c r="S307" i="3"/>
  <c r="S308" i="3"/>
  <c r="S440" i="3"/>
  <c r="S441" i="3"/>
  <c r="S442" i="3"/>
  <c r="S443" i="3"/>
  <c r="S138" i="3"/>
  <c r="S139" i="3"/>
  <c r="S310" i="3"/>
  <c r="S311" i="3"/>
  <c r="S449" i="3"/>
  <c r="S448" i="3" s="1"/>
  <c r="S158" i="3"/>
  <c r="S157" i="3" s="1"/>
  <c r="S320" i="3"/>
  <c r="S319" i="3" s="1"/>
  <c r="S461" i="3"/>
  <c r="S460" i="3" s="1"/>
  <c r="S160" i="3"/>
  <c r="S161" i="3"/>
  <c r="S162" i="3"/>
  <c r="S163" i="3"/>
  <c r="S164" i="3"/>
  <c r="S165" i="3"/>
  <c r="S322" i="3"/>
  <c r="S323" i="3"/>
  <c r="S324" i="3"/>
  <c r="S325" i="3"/>
  <c r="S463" i="3"/>
  <c r="S464" i="3"/>
  <c r="S465" i="3"/>
  <c r="S466" i="3"/>
  <c r="S467" i="3"/>
  <c r="S171" i="3"/>
  <c r="S172" i="3"/>
  <c r="S173" i="3"/>
  <c r="S327" i="3"/>
  <c r="S328" i="3"/>
  <c r="S329" i="3"/>
  <c r="S330" i="3"/>
  <c r="S469" i="3"/>
  <c r="S470" i="3"/>
  <c r="S471" i="3"/>
  <c r="S472" i="3"/>
  <c r="S473" i="3"/>
  <c r="S474" i="3"/>
  <c r="S176" i="3"/>
  <c r="S175" i="3" s="1"/>
  <c r="S332" i="3"/>
  <c r="S333" i="3"/>
  <c r="S476" i="3"/>
  <c r="S475" i="3" s="1"/>
  <c r="S478" i="3"/>
  <c r="S477" i="3" s="1"/>
  <c r="S480" i="3"/>
  <c r="S479" i="3" s="1"/>
  <c r="S482" i="3"/>
  <c r="S481" i="3" s="1"/>
  <c r="S182" i="3"/>
  <c r="S183" i="3"/>
  <c r="S335" i="3"/>
  <c r="S334" i="3" s="1"/>
  <c r="S484" i="3"/>
  <c r="S483" i="3" s="1"/>
  <c r="S142" i="3"/>
  <c r="S143" i="3"/>
  <c r="S144" i="3"/>
  <c r="S150" i="3"/>
  <c r="S152" i="3"/>
  <c r="S153" i="3"/>
  <c r="S154" i="3"/>
  <c r="S156" i="3"/>
  <c r="S146" i="3"/>
  <c r="S148" i="3"/>
  <c r="S313" i="3"/>
  <c r="S314" i="3"/>
  <c r="S316" i="3"/>
  <c r="S317" i="3"/>
  <c r="S318" i="3"/>
  <c r="S451" i="3"/>
  <c r="S452" i="3"/>
  <c r="S453" i="3"/>
  <c r="S454" i="3"/>
  <c r="S455" i="3"/>
  <c r="S457" i="3"/>
  <c r="S458" i="3"/>
  <c r="S459" i="3"/>
  <c r="S16" i="3"/>
  <c r="T456" i="3"/>
  <c r="T450" i="3"/>
  <c r="T315" i="3"/>
  <c r="T312" i="3"/>
  <c r="T149" i="3"/>
  <c r="T141" i="3"/>
  <c r="T483" i="3"/>
  <c r="T334" i="3"/>
  <c r="T181" i="3"/>
  <c r="T481" i="3"/>
  <c r="T479" i="3"/>
  <c r="T477" i="3"/>
  <c r="T475" i="3"/>
  <c r="T331" i="3"/>
  <c r="T175" i="3"/>
  <c r="T468" i="3"/>
  <c r="T326" i="3"/>
  <c r="T462" i="3"/>
  <c r="T321" i="3"/>
  <c r="T159" i="3"/>
  <c r="T460" i="3"/>
  <c r="T319" i="3"/>
  <c r="T157" i="3"/>
  <c r="T448" i="3"/>
  <c r="T309" i="3"/>
  <c r="T137" i="3"/>
  <c r="T439" i="3"/>
  <c r="T306" i="3"/>
  <c r="T131" i="3"/>
  <c r="T435" i="3"/>
  <c r="S371" i="3" l="1"/>
  <c r="S49" i="3"/>
  <c r="S159" i="3"/>
  <c r="R14" i="3"/>
  <c r="Q14" i="3"/>
  <c r="P14" i="3"/>
  <c r="R184" i="3"/>
  <c r="Q184" i="3"/>
  <c r="C17" i="5" s="1"/>
  <c r="P184" i="3"/>
  <c r="R336" i="3"/>
  <c r="C25" i="5" s="1"/>
  <c r="Q336" i="3"/>
  <c r="C24" i="5" s="1"/>
  <c r="P336" i="3"/>
  <c r="C23" i="5" s="1"/>
  <c r="S15" i="3"/>
  <c r="S456" i="3"/>
  <c r="S450" i="3"/>
  <c r="S435" i="3"/>
  <c r="S315" i="3"/>
  <c r="S312" i="3"/>
  <c r="S126" i="3"/>
  <c r="S149" i="3"/>
  <c r="S141" i="3"/>
  <c r="S302" i="3"/>
  <c r="S427" i="3"/>
  <c r="S296" i="3"/>
  <c r="S121" i="3"/>
  <c r="S105" i="3"/>
  <c r="S422" i="3"/>
  <c r="S291" i="3"/>
  <c r="S112" i="3"/>
  <c r="S185" i="3"/>
  <c r="C18" i="5"/>
  <c r="S337" i="3"/>
  <c r="S226" i="3"/>
  <c r="S131" i="3"/>
  <c r="S439" i="3"/>
  <c r="S326" i="3"/>
  <c r="S468" i="3"/>
  <c r="S169" i="3"/>
  <c r="S137" i="3"/>
  <c r="S42" i="3"/>
  <c r="U184" i="3"/>
  <c r="T336" i="3"/>
  <c r="T184" i="3"/>
  <c r="J13" i="3"/>
  <c r="K13" i="3"/>
  <c r="T14" i="3"/>
  <c r="I13" i="3"/>
  <c r="T13" i="3" s="1"/>
  <c r="S306" i="3"/>
  <c r="S288" i="3"/>
  <c r="S181" i="3"/>
  <c r="S321" i="3"/>
  <c r="S419" i="3"/>
  <c r="S309" i="3"/>
  <c r="S462" i="3"/>
  <c r="S331" i="3"/>
  <c r="S365" i="3"/>
  <c r="S221" i="3"/>
  <c r="T302" i="3"/>
  <c r="T126" i="3"/>
  <c r="T427" i="3"/>
  <c r="T296" i="3"/>
  <c r="T121" i="3"/>
  <c r="T425" i="3"/>
  <c r="T294" i="3"/>
  <c r="T116" i="3"/>
  <c r="T422" i="3"/>
  <c r="T291" i="3"/>
  <c r="T112" i="3"/>
  <c r="T419" i="3"/>
  <c r="T288" i="3"/>
  <c r="T105" i="3"/>
  <c r="T365" i="3"/>
  <c r="T221" i="3"/>
  <c r="T42" i="3"/>
  <c r="T257" i="3"/>
  <c r="T75" i="3"/>
  <c r="T371" i="3"/>
  <c r="T226" i="3"/>
  <c r="T49" i="3"/>
  <c r="T337" i="3"/>
  <c r="T185" i="3"/>
  <c r="T15" i="3"/>
  <c r="S14" i="3" l="1"/>
  <c r="S336" i="3"/>
  <c r="C26" i="5" s="1"/>
  <c r="S184" i="3"/>
  <c r="U336" i="3"/>
  <c r="C16" i="5"/>
  <c r="U14" i="3"/>
  <c r="C9" i="5"/>
  <c r="C10" i="5"/>
  <c r="C11" i="5"/>
  <c r="U13" i="3" l="1"/>
  <c r="C19" i="5"/>
  <c r="P13" i="3"/>
  <c r="Q13" i="3"/>
  <c r="R13" i="3"/>
  <c r="S13" i="3"/>
  <c r="C12" i="5" l="1"/>
  <c r="E337" i="1"/>
  <c r="E486" i="1"/>
  <c r="E334" i="1" l="1"/>
  <c r="E479" i="1" l="1"/>
  <c r="E480" i="1" l="1"/>
  <c r="E478" i="1"/>
  <c r="E178" i="1"/>
  <c r="E482" i="1"/>
  <c r="E484" i="1"/>
  <c r="E324" i="1" l="1"/>
  <c r="E465" i="1"/>
  <c r="Z464" i="1"/>
  <c r="Z463" i="1" s="1"/>
  <c r="Z323" i="1"/>
  <c r="Z322" i="1" s="1"/>
  <c r="Z187" i="1" s="1"/>
  <c r="Z161" i="1"/>
  <c r="Z160" i="1" s="1"/>
  <c r="E323" i="1" l="1"/>
  <c r="E161" i="1"/>
  <c r="E464" i="1"/>
  <c r="E322" i="1" l="1"/>
  <c r="E463" i="1"/>
  <c r="E160" i="1"/>
  <c r="E451" i="1" l="1"/>
  <c r="E312" i="1"/>
  <c r="E309" i="1" l="1"/>
  <c r="E297" i="1" l="1"/>
  <c r="E428" i="1"/>
  <c r="E291" i="1" l="1"/>
  <c r="E422" i="1"/>
  <c r="E224" i="1"/>
  <c r="E368" i="1"/>
  <c r="E79" i="1"/>
  <c r="E78" i="1" l="1"/>
  <c r="E374" i="1" l="1"/>
  <c r="E342" i="1" l="1"/>
  <c r="E344" i="1"/>
  <c r="E345" i="1"/>
  <c r="E346" i="1"/>
  <c r="E347" i="1"/>
  <c r="E348" i="1"/>
  <c r="E349" i="1"/>
  <c r="E350" i="1"/>
  <c r="E343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41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18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88" i="1" l="1"/>
  <c r="E340" i="1"/>
  <c r="E261" i="1"/>
  <c r="E260" i="1" s="1"/>
  <c r="E187" i="1" l="1"/>
  <c r="E169" i="1"/>
  <c r="E162" i="1" l="1"/>
  <c r="Z19" i="1"/>
  <c r="Z18" i="1" l="1"/>
  <c r="Z17" i="1" s="1"/>
  <c r="E19" i="1"/>
  <c r="E18" i="1" l="1"/>
  <c r="E17" i="1" s="1"/>
  <c r="E388" i="1"/>
  <c r="E339" i="1" s="1"/>
  <c r="Z388" i="1"/>
  <c r="Z339" i="1" s="1"/>
  <c r="U388" i="1"/>
  <c r="U339" i="1" s="1"/>
  <c r="J388" i="1"/>
  <c r="J339" i="1" s="1"/>
  <c r="V388" i="1"/>
  <c r="V339" i="1" s="1"/>
  <c r="P388" i="1"/>
  <c r="P339" i="1" s="1"/>
  <c r="K388" i="1"/>
  <c r="K339" i="1" s="1"/>
  <c r="Q388" i="1"/>
  <c r="Q339" i="1" s="1"/>
  <c r="W388" i="1"/>
  <c r="W339" i="1" s="1"/>
  <c r="R388" i="1"/>
  <c r="R339" i="1" s="1"/>
  <c r="L388" i="1"/>
  <c r="L339" i="1" s="1"/>
  <c r="F388" i="1"/>
  <c r="F339" i="1" s="1"/>
  <c r="X388" i="1"/>
  <c r="X339" i="1" s="1"/>
  <c r="G388" i="1"/>
  <c r="G339" i="1" s="1"/>
  <c r="M388" i="1"/>
  <c r="M339" i="1" s="1"/>
  <c r="S388" i="1"/>
  <c r="S339" i="1" s="1"/>
  <c r="Y388" i="1"/>
  <c r="Y339" i="1" s="1"/>
  <c r="H388" i="1"/>
  <c r="H339" i="1" s="1"/>
  <c r="N388" i="1"/>
  <c r="N339" i="1" s="1"/>
  <c r="T388" i="1"/>
  <c r="T339" i="1" s="1"/>
  <c r="O388" i="1"/>
  <c r="O339" i="1" s="1"/>
  <c r="I388" i="1"/>
  <c r="I339" i="1" s="1"/>
  <c r="AA388" i="1"/>
  <c r="AA339" i="1" s="1"/>
  <c r="I16" i="1" l="1"/>
  <c r="V16" i="1"/>
  <c r="N16" i="1"/>
  <c r="R16" i="1"/>
  <c r="K16" i="1"/>
  <c r="M16" i="1"/>
  <c r="U16" i="1"/>
  <c r="L16" i="1"/>
  <c r="Q16" i="1"/>
  <c r="Y16" i="1"/>
  <c r="G16" i="1"/>
  <c r="Z16" i="1"/>
  <c r="AA16" i="1"/>
  <c r="O16" i="1"/>
  <c r="T16" i="1"/>
  <c r="P16" i="1"/>
  <c r="S16" i="1"/>
  <c r="X16" i="1"/>
  <c r="E16" i="1"/>
  <c r="W16" i="1"/>
  <c r="H16" i="1"/>
  <c r="J16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O65" authorId="0" shapeId="0" xr:uid="{819A1DB8-BCA3-41A5-BF6A-8DB673BD2AC0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90" authorId="0" shapeId="0" xr:uid="{FDA11445-278F-4BAD-B0F8-13E108632F33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148" authorId="0" shapeId="0" xr:uid="{7D4F142D-E0B7-4F90-8F72-5DF084334BFA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317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19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21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<sst xmlns="http://schemas.openxmlformats.org/spreadsheetml/2006/main" count="4641" uniqueCount="748">
  <si>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</si>
  <si>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</si>
  <si>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</si>
  <si>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</si>
  <si>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</si>
  <si>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</si>
  <si>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</si>
  <si>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</si>
  <si>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</si>
  <si>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</si>
  <si>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</si>
  <si>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</si>
  <si>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</si>
  <si>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</si>
  <si>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</si>
  <si>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</si>
  <si>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</si>
  <si>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</si>
  <si>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</si>
  <si>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</si>
  <si>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</si>
  <si>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</si>
  <si>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</si>
  <si>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</si>
  <si>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</si>
  <si>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</si>
  <si>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</si>
  <si>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</si>
  <si>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</si>
  <si>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</si>
  <si>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</si>
  <si>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</si>
  <si>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</si>
  <si>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</si>
  <si>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</si>
  <si>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</si>
  <si>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</si>
  <si>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</si>
  <si>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</si>
  <si>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</si>
  <si>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</si>
  <si>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</si>
  <si>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</si>
  <si>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</si>
  <si>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</si>
  <si>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</si>
  <si>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</si>
  <si>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</si>
  <si>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</si>
  <si>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</si>
  <si>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</si>
  <si>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</si>
  <si>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</si>
  <si>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</si>
  <si>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</si>
  <si>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</si>
  <si>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</si>
  <si>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</si>
  <si>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</si>
  <si>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</si>
  <si>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</si>
  <si>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</si>
  <si>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</si>
  <si>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</si>
  <si>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</si>
  <si>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</si>
  <si>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</si>
  <si>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</si>
  <si>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</si>
  <si>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</si>
  <si>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</si>
  <si>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</si>
  <si>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</si>
  <si>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</si>
  <si>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</si>
  <si>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</si>
  <si>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</si>
  <si>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</si>
  <si>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</si>
  <si>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</si>
  <si>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</si>
  <si>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</si>
  <si>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</si>
  <si>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</si>
  <si>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</si>
  <si>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</si>
  <si>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</si>
  <si>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</si>
  <si>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</si>
  <si>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</si>
  <si>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</si>
  <si>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</si>
  <si>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</si>
  <si>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</si>
  <si>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</si>
  <si>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</si>
  <si>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</si>
  <si>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</si>
  <si>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</si>
  <si>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</si>
  <si>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</si>
  <si>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</si>
  <si>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</si>
  <si>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</si>
  <si>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</si>
  <si>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</si>
  <si>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</si>
  <si>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</si>
  <si>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</si>
  <si>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</si>
  <si>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</si>
  <si>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</si>
  <si>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</si>
  <si>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</si>
  <si>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</si>
  <si>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</si>
  <si>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</si>
  <si>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</si>
  <si>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</si>
  <si>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</si>
  <si>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</si>
  <si>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</si>
  <si>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</si>
  <si>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</si>
  <si>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</si>
  <si>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Свердлова ул, 96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</si>
  <si>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</si>
  <si>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</si>
  <si>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</si>
  <si>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</si>
  <si>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</si>
  <si>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</si>
  <si>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</si>
  <si>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</si>
  <si>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</si>
  <si>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</si>
  <si>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</si>
  <si>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</si>
  <si>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</si>
  <si>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</si>
  <si>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</si>
  <si>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</si>
  <si>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</si>
  <si>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</si>
  <si>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</si>
  <si>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</si>
  <si>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</si>
  <si>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</si>
  <si>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</si>
  <si>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</si>
  <si>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</si>
  <si>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</si>
  <si>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</si>
  <si>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</si>
  <si>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</si>
  <si>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</si>
  <si>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</si>
  <si>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</si>
  <si>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</si>
  <si>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</si>
  <si>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</si>
  <si>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</si>
  <si>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</si>
  <si>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</si>
  <si>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</si>
  <si>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</si>
  <si>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</si>
  <si>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</si>
  <si>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</si>
  <si>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</si>
  <si>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</si>
  <si>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</si>
  <si>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</si>
  <si>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</si>
  <si>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</si>
  <si>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</si>
  <si>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</si>
  <si>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</si>
  <si>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</si>
  <si>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</si>
  <si>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</si>
  <si>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</si>
  <si>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Камешковский р-н, Новки п, Чапаева ул, 12</t>
  </si>
  <si>
    <t>Камешковский р-н, Лубенцы д, 68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</si>
  <si>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</si>
  <si>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</si>
  <si>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</si>
  <si>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</si>
  <si>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</si>
  <si>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</si>
  <si>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</si>
  <si>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</si>
  <si>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</si>
  <si>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</si>
  <si>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</si>
  <si>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</si>
  <si>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</si>
  <si>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</si>
  <si>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</si>
  <si>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</si>
  <si>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</si>
  <si>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</si>
  <si>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</si>
  <si>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</si>
  <si>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</si>
  <si>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</si>
  <si>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</si>
  <si>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</si>
  <si>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</si>
  <si>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</si>
  <si>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</si>
  <si>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</si>
  <si>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</si>
  <si>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Кольчугинский р-н, Бавлены п, Центральная ул, 8</t>
  </si>
  <si>
    <t>Кольчугинский р-н, Большевик п, Школьный пер, 4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</si>
  <si>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</si>
  <si>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</si>
  <si>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</si>
  <si>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</si>
  <si>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</si>
  <si>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</si>
  <si>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</si>
  <si>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</si>
  <si>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</si>
  <si>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</si>
  <si>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</si>
  <si>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</si>
  <si>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</si>
  <si>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</si>
  <si>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</si>
  <si>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</si>
  <si>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</si>
  <si>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</si>
  <si>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</si>
  <si>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</si>
  <si>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</si>
  <si>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</si>
  <si>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</si>
  <si>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</si>
  <si>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</si>
  <si>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</si>
  <si>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</si>
  <si>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</si>
  <si>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</si>
  <si>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Судогодский р-н, Ильино д, Молодежная ул, 1</t>
  </si>
  <si>
    <t>Судогодский р-н, Мошок с, Заводская ул, 24</t>
  </si>
  <si>
    <t>Судогодский р-н, Муромцево п, Шкурина ул, 3</t>
  </si>
  <si>
    <t>Судогда г, Чапаева ул, 12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</si>
  <si>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</si>
  <si>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</si>
  <si>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</si>
  <si>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</si>
  <si>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</si>
  <si>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</si>
  <si>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</si>
  <si>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</si>
  <si>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</si>
  <si>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</si>
  <si>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</si>
  <si>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</si>
  <si>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</si>
  <si>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</si>
  <si>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</si>
  <si>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</si>
  <si>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</si>
  <si>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</si>
  <si>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</si>
  <si>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</si>
  <si>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</si>
  <si>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</si>
  <si>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</si>
  <si>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</si>
  <si>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</si>
  <si>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Петушинский р-н, Нагорный п, Владимирская ул, 4</t>
  </si>
  <si>
    <t>Петушинский р-н, Покров г, 3 Интернационала ул, 105</t>
  </si>
  <si>
    <t>Петушинский р-н, Покров г, 3 Интернационала ул, 99</t>
  </si>
  <si>
    <t>Петушинский р-н, Костерево г, Комсомольская ул, 1</t>
  </si>
  <si>
    <t>Петушки г, Заводская ул, 10</t>
  </si>
  <si>
    <t>Петушки г, Московская ул, 38</t>
  </si>
  <si>
    <t>Петушинский р-н, Воспушка д, Ленина ул, 5</t>
  </si>
  <si>
    <t>Петушинский р-н, Андреевское с, 11</t>
  </si>
  <si>
    <t>Петушинский р-н, Вольгинский п, Новосеменковская ул, 8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</si>
  <si>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</si>
  <si>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</si>
  <si>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</si>
  <si>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</si>
  <si>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</si>
  <si>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</si>
  <si>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</si>
  <si>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</si>
  <si>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</si>
  <si>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</si>
  <si>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</si>
  <si>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</si>
  <si>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</si>
  <si>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</si>
  <si>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</si>
  <si>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</si>
  <si>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</si>
  <si>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</si>
  <si>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</si>
  <si>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</si>
  <si>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</si>
  <si>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</si>
  <si>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</si>
  <si>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</si>
  <si>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</si>
  <si>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</si>
  <si>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</si>
  <si>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</si>
  <si>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</si>
  <si>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</si>
  <si>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</si>
  <si>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</si>
  <si>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</si>
  <si>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</si>
  <si>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</si>
  <si>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</si>
  <si>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</si>
  <si>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</si>
  <si>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</si>
  <si>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</si>
  <si>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</si>
  <si>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</si>
  <si>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</si>
  <si>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</si>
  <si>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</si>
  <si>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</si>
  <si>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</si>
  <si>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</si>
  <si>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</si>
  <si>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</si>
  <si>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</si>
  <si>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</si>
  <si>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</si>
  <si>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</si>
  <si>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</si>
  <si>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</si>
  <si>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</si>
  <si>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</si>
  <si>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</si>
  <si>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</si>
  <si>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</si>
  <si>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</si>
  <si>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</si>
  <si>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</si>
  <si>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</si>
  <si>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</si>
  <si>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</si>
  <si>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</si>
  <si>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</si>
  <si>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</si>
  <si>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</si>
  <si>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</si>
  <si>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</si>
  <si>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</si>
  <si>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</si>
  <si>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</si>
  <si>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</si>
  <si>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</si>
  <si>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</si>
  <si>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</si>
  <si>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</si>
  <si>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</si>
  <si>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</si>
  <si>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</si>
  <si>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</si>
  <si>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</si>
  <si>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</si>
  <si>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</si>
  <si>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</si>
  <si>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</si>
  <si>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</si>
  <si>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</si>
  <si>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</si>
  <si>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</si>
  <si>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</si>
  <si>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</si>
  <si>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</si>
  <si>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</si>
  <si>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</si>
  <si>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</si>
  <si>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</si>
  <si>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</si>
  <si>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</si>
  <si>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</si>
  <si>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</si>
  <si>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</si>
  <si>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</si>
  <si>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</si>
  <si>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</si>
  <si>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</si>
  <si>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</si>
  <si>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</si>
  <si>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</si>
  <si>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</si>
  <si>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</si>
  <si>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</si>
  <si>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</si>
  <si>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</si>
  <si>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</si>
  <si>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</si>
  <si>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</si>
  <si>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</si>
  <si>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</si>
  <si>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</si>
  <si>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</si>
  <si>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</si>
  <si>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</si>
  <si>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</si>
  <si>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</si>
  <si>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</si>
  <si>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</si>
  <si>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</si>
  <si>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</si>
  <si>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</si>
  <si>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</si>
  <si>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</si>
  <si>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</si>
  <si>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</si>
  <si>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</si>
  <si>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</si>
  <si>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</si>
  <si>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</si>
  <si>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</si>
  <si>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</si>
  <si>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</si>
  <si>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</si>
  <si>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</si>
  <si>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</si>
  <si>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</si>
  <si>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</si>
  <si>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</si>
  <si>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</si>
  <si>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</si>
  <si>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</si>
  <si>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</si>
  <si>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</si>
  <si>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</si>
  <si>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</si>
  <si>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</si>
  <si>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</si>
  <si>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</si>
  <si>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</si>
  <si>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</si>
  <si>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</si>
  <si>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</si>
  <si>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</si>
  <si>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</si>
  <si>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</si>
  <si>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</si>
  <si>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</si>
  <si>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</si>
  <si>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</si>
  <si>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</si>
  <si>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</si>
  <si>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</si>
  <si>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</si>
  <si>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</si>
  <si>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</si>
  <si>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</si>
  <si>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</si>
  <si>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</si>
  <si>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</si>
  <si>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</si>
  <si>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</si>
  <si>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</si>
  <si>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</si>
  <si>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</si>
  <si>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</si>
  <si>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</si>
  <si>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</si>
  <si>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</si>
  <si>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</si>
  <si>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</si>
  <si>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</si>
  <si>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</si>
  <si>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</si>
  <si>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</si>
  <si>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</si>
  <si>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</si>
  <si>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</si>
  <si>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</si>
  <si>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</si>
  <si>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</si>
  <si>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</si>
  <si>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</si>
  <si>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</si>
  <si>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</si>
  <si>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</si>
  <si>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</si>
  <si>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</si>
  <si>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</si>
  <si>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</si>
  <si>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</si>
  <si>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</si>
  <si>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</si>
  <si>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</si>
  <si>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</si>
  <si>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</si>
  <si>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</si>
  <si>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</si>
  <si>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</si>
  <si>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</si>
  <si>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</si>
  <si>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</si>
  <si>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</si>
  <si>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</si>
  <si>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</si>
  <si>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</si>
  <si>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</si>
  <si>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</si>
  <si>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</si>
  <si>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</si>
  <si>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</si>
  <si>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</si>
  <si>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</si>
  <si>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</si>
  <si>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</si>
  <si>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</si>
  <si>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</si>
  <si>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</si>
  <si>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</si>
  <si>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</si>
  <si>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</si>
  <si>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</si>
  <si>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</si>
  <si>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</si>
  <si>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</si>
  <si>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</si>
  <si>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</si>
  <si>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</si>
  <si>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</si>
  <si>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</si>
  <si>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</si>
  <si>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</si>
  <si>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</si>
  <si>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</si>
  <si>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</si>
  <si>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</si>
  <si>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</si>
  <si>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</si>
  <si>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Суздаль</t>
  </si>
  <si>
    <t>Боголюбовское</t>
  </si>
  <si>
    <t>Павловское</t>
  </si>
  <si>
    <t>Селецкое</t>
  </si>
  <si>
    <t>Степанцевское</t>
  </si>
  <si>
    <t>поселок Мстера</t>
  </si>
  <si>
    <t>Новоалександровское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</si>
  <si>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</si>
  <si>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</si>
  <si>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</si>
  <si>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</si>
  <si>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</si>
  <si>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</si>
  <si>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</si>
  <si>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</si>
  <si>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</si>
  <si>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</si>
  <si>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</si>
  <si>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</si>
  <si>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</si>
  <si>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</si>
  <si>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</si>
  <si>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</si>
  <si>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</si>
  <si>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</si>
  <si>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</si>
  <si>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</si>
  <si>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</si>
  <si>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</si>
  <si>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</si>
  <si>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</si>
  <si>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</si>
  <si>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</si>
  <si>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</si>
  <si>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</si>
  <si>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</si>
  <si>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</si>
  <si>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</si>
  <si>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</si>
  <si>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</si>
  <si>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</si>
  <si>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</si>
  <si>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</si>
  <si>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</si>
  <si>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</si>
  <si>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</si>
  <si>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</si>
  <si>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</si>
  <si>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</si>
  <si>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</si>
  <si>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</si>
  <si>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</si>
  <si>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</si>
  <si>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</si>
  <si>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</si>
  <si>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</si>
  <si>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</si>
  <si>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</si>
  <si>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</si>
  <si>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</si>
  <si>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</si>
  <si>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</si>
  <si>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</si>
  <si>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</si>
  <si>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</si>
  <si>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</si>
  <si>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</si>
  <si>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</si>
  <si>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</si>
  <si>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</si>
  <si>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</si>
  <si>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</si>
  <si>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</si>
  <si>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</si>
  <si>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</si>
  <si>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</si>
  <si>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</si>
  <si>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</si>
  <si>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</si>
  <si>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</si>
  <si>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</si>
  <si>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</si>
  <si>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</si>
  <si>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</si>
  <si>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</si>
  <si>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</si>
  <si>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</si>
  <si>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</si>
  <si>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</si>
  <si>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</si>
  <si>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</si>
  <si>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</si>
  <si>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</si>
  <si>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</si>
  <si>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</si>
  <si>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</si>
  <si>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</si>
  <si>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</si>
  <si>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</si>
  <si>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</si>
  <si>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</si>
  <si>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</si>
  <si>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</si>
  <si>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</si>
  <si>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</si>
  <si>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</si>
  <si>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</si>
  <si>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</si>
  <si>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</si>
  <si>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</si>
  <si>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</si>
  <si>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</si>
  <si>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</si>
  <si>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</si>
  <si>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</si>
  <si>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</si>
  <si>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</si>
  <si>
    <t>Меленки г, Коммунистическая ул, 28</t>
  </si>
  <si>
    <t>Суздаль г, Ленина ул, 30</t>
  </si>
  <si>
    <t>Суздаль г, Ленина ул, 74</t>
  </si>
  <si>
    <t>Ковров г, Зои Космодемьянской ул, 1/1</t>
  </si>
  <si>
    <t>Петушинский р-н, Покров г, Фейгина ул, 1а</t>
  </si>
  <si>
    <t>Ковров г, Абельмана ул, 19</t>
  </si>
  <si>
    <t>ООО "ЖЭЦ-Управление"</t>
  </si>
  <si>
    <t>ООО "УК Покров"</t>
  </si>
  <si>
    <t>Вязниковский р-н, Буторлино д, Шоссейная ул, 18</t>
  </si>
  <si>
    <t>Судогодский р-н, Красный Богатырь п, Ленина ул, 32а</t>
  </si>
  <si>
    <t>Итого по Кольчугинский муниципальный округ</t>
  </si>
  <si>
    <t>Итого по Судогодский муниципальный округ</t>
  </si>
  <si>
    <t>Кольчугинский р-н, Бавлены п, Южный пер, 3</t>
  </si>
  <si>
    <t>Кольчугинский р-н, Бавлены п, Молодежная ул, 2</t>
  </si>
  <si>
    <t>Кольчугинский р-н, Большое Кузьминское с, Рачкова ул, 19</t>
  </si>
  <si>
    <t>Кольчугинский р-н, Большое Кузьминское с, Молодежная ул, 5</t>
  </si>
  <si>
    <t>ООО "ЭЛИС"</t>
  </si>
  <si>
    <t>Кольчугино г, 3 Интернационала ул, 81А</t>
  </si>
  <si>
    <t>Александров г, Революции ул, 5</t>
  </si>
  <si>
    <t>Итого по Александровский муниципальный округ</t>
  </si>
  <si>
    <t>Ковров г, Ватутина ул, 53</t>
  </si>
  <si>
    <t>Владимир г, Ленина пр-кт, 13Б</t>
  </si>
  <si>
    <t>Владимир г, Балакирева ул, 39</t>
  </si>
  <si>
    <t>Владимир г, Ленина пр-кт, 38</t>
  </si>
  <si>
    <t>Владимир г, Верхняя Дуброва ул, 3</t>
  </si>
  <si>
    <t>Владимир г, Усти-на-Лабе ул, 5</t>
  </si>
  <si>
    <t>ТСЖ "Валентина"</t>
  </si>
  <si>
    <t>ООО "КОМПАНИЯ "НАШ ДОМ-3"</t>
  </si>
  <si>
    <t>ТСН "РЕВОЛЮЦИИ 5"</t>
  </si>
  <si>
    <t>Итого по Камешковский муниципальный округ</t>
  </si>
  <si>
    <t>Камешково г, Комсомольская пл, 6</t>
  </si>
  <si>
    <t>Итого по Селивановский муниципальный округ</t>
  </si>
  <si>
    <t>Итого по Гусь-Хрустальный муниципальный округ</t>
  </si>
  <si>
    <t>Итого по Гороховецкий муниципальный округ</t>
  </si>
  <si>
    <t>Итого по Киржачский муниципальный округ</t>
  </si>
  <si>
    <t>Итого по Киржачский  муниципальный округ</t>
  </si>
  <si>
    <t>Итого по Юрьев-Польский муниципальбный округ</t>
  </si>
  <si>
    <t>Итого по Юрьев-Польский муниципальный округ</t>
  </si>
  <si>
    <t>Итого по Покровский городской округ</t>
  </si>
  <si>
    <t>Итого по Петушинский муниципальный округ</t>
  </si>
  <si>
    <t>Итого по Ковровский муниципальный округ</t>
  </si>
  <si>
    <t>Итого Ковровский муниципальный округ</t>
  </si>
  <si>
    <t xml:space="preserve">Получатель бюджетных средств - Некоммерческая организация, товарищество собственников жилья, жилищный, жилищно-строительный кооператив, управляющая организация
 (в рамках постановления администрации области от 05.10.2018 №742, в рамках постановления Губернатора области от 13.02.2014 № 111) </t>
  </si>
  <si>
    <t xml:space="preserve">Получатель бюджетных средств - Некоммерческая организация (в рамках постановления администрации области от 05.10.2018 №742, в рамках постановления Губернатора области от 13.02.2014 № 111) </t>
  </si>
  <si>
    <t>Владимир г, Большая Московская ул, 4/6</t>
  </si>
  <si>
    <t>Владимир г, Дворянская ул, 13</t>
  </si>
  <si>
    <t>Александровский муниципальный округ</t>
  </si>
  <si>
    <t>Гороховецкий муниципальный округ</t>
  </si>
  <si>
    <t>Гусь-Хрустальный муниципальный округ</t>
  </si>
  <si>
    <t>Камешковский муниципальный округ</t>
  </si>
  <si>
    <t>Киржачский муниципальный округ</t>
  </si>
  <si>
    <t>Кольчугинский муниципальный округ</t>
  </si>
  <si>
    <t>Покровский городской округ</t>
  </si>
  <si>
    <t>Петушинский муниципальный округ</t>
  </si>
  <si>
    <t>Селивановский муниципальный округ</t>
  </si>
  <si>
    <t>Судогодский муниципальный округ</t>
  </si>
  <si>
    <t>Юрьев-Польский муниципальный округ</t>
  </si>
  <si>
    <t>Ковровский муниципальный округ</t>
  </si>
  <si>
    <t>Собинский р-н, Лакинск г, Мира ул, 102</t>
  </si>
  <si>
    <t>Александровский р-н, Струнино г, Дубки кв-л, 19</t>
  </si>
  <si>
    <t>Ковров г, Северный проезд, 13</t>
  </si>
  <si>
    <t>Камешковский р-н, Коверино с, Садовая ул, 3а</t>
  </si>
  <si>
    <t>Камешковский р-н, Новая Печуга д, 63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</si>
  <si>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</si>
  <si>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Х</t>
  </si>
  <si>
    <t>Владимир г, Усти-на-Лабе ул, 29/18</t>
  </si>
  <si>
    <t>Владимир г, Большая Московская ул, 75б</t>
  </si>
  <si>
    <t>Владимир г, Энергетик мкр, Энергетиков ул, 8Б</t>
  </si>
  <si>
    <t>Владимир г, Добросельская ул, 200а</t>
  </si>
  <si>
    <t>Меленковский р-н, Паново д, Молодежная ул, 4</t>
  </si>
  <si>
    <t>Меленковский р-н, Илькино с, Садовая ул, 8</t>
  </si>
  <si>
    <t>Меленковский р-н, Денятино с, Механизаторов ул, 4</t>
  </si>
  <si>
    <t>Селивановский р-н, Новый Быт п, Молодежная ул, 2</t>
  </si>
  <si>
    <t>Селивановский р-н, Надеждино д, Школьная ул, 10</t>
  </si>
  <si>
    <t>Гусь-Хрустальный р-н, Никулино д, Центральная ул, 17а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</si>
  <si>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</si>
  <si>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 xml:space="preserve">Итого по Владимирской области по 2026 году: </t>
  </si>
  <si>
    <t>ООО "РЕСУРС"</t>
  </si>
  <si>
    <t>"ПАНОВО"</t>
  </si>
  <si>
    <t>"ИЛЬКИНО"</t>
  </si>
  <si>
    <t xml:space="preserve">Получатель бюджетных средств - Некоммерческая организация (в рамках постановления администрации области от 05.10.2018 №742) </t>
  </si>
  <si>
    <t>в том числе: областной бюджет</t>
  </si>
  <si>
    <t>Информация по многоквартирным домам,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(данные уточняются по мере принятия решений о предоставлении субсидии в соответствии с постановлением администрации области от 05.10.2018 №742)</t>
  </si>
  <si>
    <t>Итого по Владимирской области по 2026 году</t>
  </si>
  <si>
    <t>Перечень многоквартирных домов,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</si>
  <si>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>Александровский р-н, Струнино г, Дубки кв-л, 10</t>
  </si>
  <si>
    <t>Информация по многоквартирным домам,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</si>
  <si>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 xml:space="preserve">Проведение капитального ремонта общего имущества в связи с возникновением аварии, иных чрезвычайных ситуаций природного или техногенного характера (постановление администрации Владимирской области от 14.08.2017 № 678) </t>
  </si>
  <si>
    <t xml:space="preserve">Итого по Владимирской области по 2026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</si>
</sst>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4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  <xf numFmtId="0" fontId="42" fillId="0" borderId="0"/>
  </cellStyleXfs>
  <cellXfs count="235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0" fontId="6" fillId="0" borderId="0" xfId="0" applyFont="1"/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0" fillId="0" borderId="1" xfId="0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3" fillId="0" borderId="1" xfId="0" applyFont="1" applyBorder="1"/>
    <xf numFmtId="0" fontId="41" fillId="0" borderId="1" xfId="0" applyFont="1" applyBorder="1"/>
    <xf numFmtId="3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7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/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19" fillId="0" borderId="1" xfId="0" applyFont="1" applyBorder="1"/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43" fillId="0" borderId="0" xfId="0" applyNumberFormat="1" applyFont="1"/>
    <xf numFmtId="0" fontId="20" fillId="0" borderId="0" xfId="0" applyFont="1" applyAlignment="1">
      <alignment wrapText="1"/>
    </xf>
    <xf numFmtId="4" fontId="3" fillId="0" borderId="0" xfId="0" applyNumberFormat="1" applyFont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8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9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9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9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1" fontId="37" fillId="0" borderId="15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</cellXfs>
  <cellStyles count="8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  <cellStyle name="Обычный_Лист1" xfId="7" xr:uid="{4460F584-993D-460C-B95B-D366F5E7EC8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507"/>
  <sheetViews>
    <sheetView tabSelected="1" topLeftCell="B1" zoomScale="54" zoomScaleNormal="54" workbookViewId="0">
      <selection activeCell="AA16" activeCellId="9" sqref="F16:J16 M16 O16 S16 U16 V16 X16 Y16 Z16 AA16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106" hidden="1" customWidth="1"/>
    <col min="5" max="5" width="28.7109375" style="82" customWidth="1"/>
    <col min="6" max="6" width="20.7109375" style="52" customWidth="1"/>
    <col min="7" max="7" width="22.85546875" style="52" customWidth="1"/>
    <col min="8" max="8" width="23.7109375" style="52" customWidth="1"/>
    <col min="9" max="9" width="20.28515625" style="52" customWidth="1"/>
    <col min="10" max="10" width="22.85546875" style="52" customWidth="1"/>
    <col min="11" max="11" width="14.42578125" style="52" customWidth="1"/>
    <col min="12" max="12" width="19.42578125" style="52" customWidth="1"/>
    <col min="13" max="13" width="24.42578125" style="52" customWidth="1"/>
    <col min="14" max="14" width="17.5703125" style="52" customWidth="1"/>
    <col min="15" max="15" width="23.28515625" style="107" customWidth="1"/>
    <col min="16" max="16" width="16.85546875" style="52" customWidth="1"/>
    <col min="17" max="17" width="19.5703125" style="52" customWidth="1"/>
    <col min="18" max="18" width="18.5703125" style="52" customWidth="1"/>
    <col min="19" max="19" width="22" style="52" customWidth="1"/>
    <col min="20" max="20" width="14" style="52" customWidth="1"/>
    <col min="21" max="21" width="18.28515625" style="52" customWidth="1"/>
    <col min="22" max="22" width="22" style="52" customWidth="1"/>
    <col min="23" max="23" width="46" style="52" customWidth="1"/>
    <col min="24" max="24" width="21.28515625" style="52" customWidth="1"/>
    <col min="25" max="25" width="42.7109375" style="52" customWidth="1"/>
    <col min="26" max="26" width="21.5703125" style="52" customWidth="1"/>
    <col min="27" max="27" width="17" style="52" customWidth="1"/>
    <col min="28" max="29" width="24.5703125" style="52" customWidth="1"/>
    <col min="30" max="30" width="24" style="52" customWidth="1"/>
  </cols>
  <sheetData>
    <row r="1" spans="2:30" ht="36" x14ac:dyDescent="0.55000000000000004">
      <c r="B1" s="45"/>
      <c r="C1" s="46"/>
      <c r="D1" s="47"/>
      <c r="E1" s="48"/>
      <c r="F1" s="49"/>
      <c r="G1" s="49"/>
      <c r="H1" s="49"/>
      <c r="I1" s="50"/>
      <c r="J1" s="49"/>
      <c r="K1" s="49"/>
      <c r="L1" s="49"/>
      <c r="M1" s="49"/>
      <c r="N1" s="49"/>
      <c r="O1" s="51"/>
      <c r="P1" s="49"/>
      <c r="Q1" s="49"/>
      <c r="Y1" s="53"/>
      <c r="Z1" s="53"/>
      <c r="AA1" s="53"/>
      <c r="AB1" s="160" t="s">
        <v>578</v>
      </c>
      <c r="AC1" s="160"/>
      <c r="AD1" s="160"/>
    </row>
    <row r="2" spans="2:30" ht="78" customHeight="1" x14ac:dyDescent="0.45">
      <c r="B2" s="45"/>
      <c r="C2" s="46"/>
      <c r="D2" s="47"/>
      <c r="E2" s="48"/>
      <c r="F2" s="49"/>
      <c r="G2" s="49"/>
      <c r="H2" s="49"/>
      <c r="I2" s="50"/>
      <c r="J2" s="49"/>
      <c r="K2" s="49"/>
      <c r="L2" s="49"/>
      <c r="M2" s="49"/>
      <c r="N2" s="49"/>
      <c r="O2" s="51"/>
      <c r="P2" s="49"/>
      <c r="Q2" s="49"/>
      <c r="Y2" s="161" t="s">
        <v>0</v>
      </c>
      <c r="Z2" s="161"/>
      <c r="AA2" s="161"/>
      <c r="AB2" s="161"/>
      <c r="AC2" s="161"/>
      <c r="AD2" s="161"/>
    </row>
    <row r="3" spans="2:30" ht="44.25" customHeight="1" x14ac:dyDescent="1.25">
      <c r="B3" s="54"/>
      <c r="C3" s="55"/>
      <c r="D3" s="56"/>
      <c r="E3" s="48"/>
      <c r="F3" s="49"/>
      <c r="G3" s="49"/>
      <c r="H3" s="49"/>
      <c r="I3" s="50"/>
      <c r="J3" s="49"/>
      <c r="K3" s="49"/>
      <c r="L3" s="49"/>
      <c r="M3" s="49"/>
      <c r="N3" s="49"/>
      <c r="O3" s="51"/>
      <c r="P3" s="49"/>
      <c r="Q3" s="49"/>
      <c r="Y3" s="53"/>
      <c r="Z3" s="53"/>
      <c r="AA3" s="161" t="s">
        <v>1</v>
      </c>
      <c r="AB3" s="161"/>
      <c r="AC3" s="161"/>
      <c r="AD3" s="161"/>
    </row>
    <row r="4" spans="2:30" ht="34.5" x14ac:dyDescent="0.45">
      <c r="B4" s="182" t="s">
        <v>2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</row>
    <row r="5" spans="2:30" ht="34.5" x14ac:dyDescent="0.25">
      <c r="B5" s="174" t="s">
        <v>3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</row>
    <row r="6" spans="2:30" ht="34.5" x14ac:dyDescent="0.25">
      <c r="B6" s="174" t="s">
        <v>572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</row>
    <row r="7" spans="2:30" ht="35.25" x14ac:dyDescent="0.5">
      <c r="B7" s="57"/>
      <c r="C7" s="58"/>
      <c r="D7" s="57"/>
      <c r="E7" s="8"/>
      <c r="F7" s="49"/>
      <c r="G7" s="49"/>
      <c r="H7" s="49"/>
      <c r="I7" s="50"/>
      <c r="J7" s="49"/>
      <c r="K7" s="49"/>
      <c r="L7" s="49"/>
      <c r="M7" s="49"/>
      <c r="N7" s="49"/>
      <c r="O7" s="51"/>
      <c r="P7" s="49"/>
      <c r="Q7" s="49"/>
      <c r="R7" s="49"/>
      <c r="S7" s="49"/>
      <c r="T7" s="49"/>
      <c r="U7" s="49"/>
      <c r="V7" s="49"/>
      <c r="W7" s="49"/>
      <c r="X7" s="49"/>
    </row>
    <row r="8" spans="2:30" x14ac:dyDescent="0.25">
      <c r="B8" s="175" t="s">
        <v>4</v>
      </c>
      <c r="C8" s="175" t="s">
        <v>5</v>
      </c>
      <c r="D8" s="59"/>
      <c r="E8" s="177" t="s">
        <v>6</v>
      </c>
      <c r="F8" s="175" t="s">
        <v>7</v>
      </c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8" t="s">
        <v>8</v>
      </c>
      <c r="W8" s="179"/>
      <c r="X8" s="179"/>
      <c r="Y8" s="179"/>
      <c r="Z8" s="179"/>
      <c r="AA8" s="180"/>
      <c r="AB8" s="184" t="s">
        <v>9</v>
      </c>
      <c r="AC8" s="184" t="s">
        <v>10</v>
      </c>
      <c r="AD8" s="184" t="s">
        <v>11</v>
      </c>
    </row>
    <row r="9" spans="2:30" x14ac:dyDescent="0.25">
      <c r="B9" s="175"/>
      <c r="C9" s="175"/>
      <c r="D9" s="59"/>
      <c r="E9" s="177"/>
      <c r="F9" s="175" t="s">
        <v>12</v>
      </c>
      <c r="G9" s="175"/>
      <c r="H9" s="175"/>
      <c r="I9" s="175"/>
      <c r="J9" s="175"/>
      <c r="K9" s="175"/>
      <c r="L9" s="175" t="s">
        <v>13</v>
      </c>
      <c r="M9" s="175"/>
      <c r="N9" s="175" t="s">
        <v>14</v>
      </c>
      <c r="O9" s="175"/>
      <c r="P9" s="175" t="s">
        <v>15</v>
      </c>
      <c r="Q9" s="175"/>
      <c r="R9" s="175" t="s">
        <v>16</v>
      </c>
      <c r="S9" s="175"/>
      <c r="T9" s="175" t="s">
        <v>17</v>
      </c>
      <c r="U9" s="175"/>
      <c r="V9" s="181" t="s">
        <v>18</v>
      </c>
      <c r="W9" s="181" t="s">
        <v>19</v>
      </c>
      <c r="X9" s="181" t="s">
        <v>20</v>
      </c>
      <c r="Y9" s="185" t="s">
        <v>21</v>
      </c>
      <c r="Z9" s="181" t="s">
        <v>22</v>
      </c>
      <c r="AA9" s="181" t="s">
        <v>23</v>
      </c>
      <c r="AB9" s="184"/>
      <c r="AC9" s="184"/>
      <c r="AD9" s="184"/>
    </row>
    <row r="10" spans="2:30" ht="18.75" customHeight="1" x14ac:dyDescent="0.25">
      <c r="B10" s="175"/>
      <c r="C10" s="175"/>
      <c r="D10" s="59"/>
      <c r="E10" s="177"/>
      <c r="F10" s="184" t="s">
        <v>24</v>
      </c>
      <c r="G10" s="184" t="s">
        <v>25</v>
      </c>
      <c r="H10" s="184" t="s">
        <v>26</v>
      </c>
      <c r="I10" s="184" t="s">
        <v>27</v>
      </c>
      <c r="J10" s="184" t="s">
        <v>28</v>
      </c>
      <c r="K10" s="184" t="s">
        <v>29</v>
      </c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81"/>
      <c r="W10" s="181"/>
      <c r="X10" s="181"/>
      <c r="Y10" s="185"/>
      <c r="Z10" s="181"/>
      <c r="AA10" s="181"/>
      <c r="AB10" s="184"/>
      <c r="AC10" s="184"/>
      <c r="AD10" s="184"/>
    </row>
    <row r="11" spans="2:30" ht="289.5" customHeight="1" x14ac:dyDescent="0.25">
      <c r="B11" s="175"/>
      <c r="C11" s="175"/>
      <c r="D11" s="59"/>
      <c r="E11" s="177"/>
      <c r="F11" s="184"/>
      <c r="G11" s="184"/>
      <c r="H11" s="184"/>
      <c r="I11" s="184"/>
      <c r="J11" s="184"/>
      <c r="K11" s="184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81"/>
      <c r="W11" s="181"/>
      <c r="X11" s="181"/>
      <c r="Y11" s="185"/>
      <c r="Z11" s="181"/>
      <c r="AA11" s="181"/>
      <c r="AB11" s="184"/>
      <c r="AC11" s="184"/>
      <c r="AD11" s="184"/>
    </row>
    <row r="12" spans="2:30" ht="18.75" customHeight="1" x14ac:dyDescent="0.25">
      <c r="B12" s="175"/>
      <c r="C12" s="175"/>
      <c r="D12" s="59"/>
      <c r="E12" s="177"/>
      <c r="F12" s="184"/>
      <c r="G12" s="184"/>
      <c r="H12" s="184"/>
      <c r="I12" s="184"/>
      <c r="J12" s="184"/>
      <c r="K12" s="184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81"/>
      <c r="W12" s="181"/>
      <c r="X12" s="181"/>
      <c r="Y12" s="185"/>
      <c r="Z12" s="181"/>
      <c r="AA12" s="181"/>
      <c r="AB12" s="184"/>
      <c r="AC12" s="184"/>
      <c r="AD12" s="184"/>
    </row>
    <row r="13" spans="2:30" ht="18.75" customHeight="1" x14ac:dyDescent="0.25">
      <c r="B13" s="175"/>
      <c r="C13" s="175"/>
      <c r="D13" s="59"/>
      <c r="E13" s="177"/>
      <c r="F13" s="184"/>
      <c r="G13" s="184"/>
      <c r="H13" s="184"/>
      <c r="I13" s="184"/>
      <c r="J13" s="184"/>
      <c r="K13" s="184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81"/>
      <c r="W13" s="181"/>
      <c r="X13" s="181"/>
      <c r="Y13" s="185"/>
      <c r="Z13" s="181"/>
      <c r="AA13" s="181"/>
      <c r="AB13" s="184"/>
      <c r="AC13" s="184"/>
      <c r="AD13" s="184"/>
    </row>
    <row r="14" spans="2:30" x14ac:dyDescent="0.3">
      <c r="B14" s="176"/>
      <c r="C14" s="176"/>
      <c r="D14" s="61"/>
      <c r="E14" s="60" t="s">
        <v>30</v>
      </c>
      <c r="F14" s="60" t="s">
        <v>30</v>
      </c>
      <c r="G14" s="60" t="s">
        <v>30</v>
      </c>
      <c r="H14" s="60" t="s">
        <v>30</v>
      </c>
      <c r="I14" s="60" t="s">
        <v>30</v>
      </c>
      <c r="J14" s="60" t="s">
        <v>30</v>
      </c>
      <c r="K14" s="60" t="s">
        <v>30</v>
      </c>
      <c r="L14" s="59" t="s">
        <v>31</v>
      </c>
      <c r="M14" s="59" t="s">
        <v>30</v>
      </c>
      <c r="N14" s="59" t="s">
        <v>32</v>
      </c>
      <c r="O14" s="60" t="s">
        <v>30</v>
      </c>
      <c r="P14" s="59" t="s">
        <v>32</v>
      </c>
      <c r="Q14" s="59" t="s">
        <v>30</v>
      </c>
      <c r="R14" s="59" t="s">
        <v>32</v>
      </c>
      <c r="S14" s="59" t="s">
        <v>30</v>
      </c>
      <c r="T14" s="59" t="s">
        <v>33</v>
      </c>
      <c r="U14" s="59" t="s">
        <v>30</v>
      </c>
      <c r="V14" s="59" t="s">
        <v>30</v>
      </c>
      <c r="W14" s="59" t="s">
        <v>30</v>
      </c>
      <c r="X14" s="59" t="s">
        <v>30</v>
      </c>
      <c r="Y14" s="60" t="s">
        <v>30</v>
      </c>
      <c r="Z14" s="59" t="s">
        <v>30</v>
      </c>
      <c r="AA14" s="59" t="s">
        <v>30</v>
      </c>
      <c r="AB14" s="184"/>
      <c r="AC14" s="184"/>
      <c r="AD14" s="184"/>
    </row>
    <row r="15" spans="2:30" ht="21.75" customHeight="1" x14ac:dyDescent="0.25">
      <c r="B15" s="59">
        <v>1</v>
      </c>
      <c r="C15" s="59">
        <v>2</v>
      </c>
      <c r="D15" s="59"/>
      <c r="E15" s="59">
        <v>3</v>
      </c>
      <c r="F15" s="59">
        <v>4</v>
      </c>
      <c r="G15" s="59">
        <v>5</v>
      </c>
      <c r="H15" s="59">
        <v>6</v>
      </c>
      <c r="I15" s="59">
        <v>7</v>
      </c>
      <c r="J15" s="59">
        <v>8</v>
      </c>
      <c r="K15" s="59">
        <v>9</v>
      </c>
      <c r="L15" s="59">
        <v>10</v>
      </c>
      <c r="M15" s="59">
        <v>11</v>
      </c>
      <c r="N15" s="59">
        <v>12</v>
      </c>
      <c r="O15" s="60">
        <v>13</v>
      </c>
      <c r="P15" s="59">
        <v>14</v>
      </c>
      <c r="Q15" s="59">
        <v>15</v>
      </c>
      <c r="R15" s="59">
        <v>16</v>
      </c>
      <c r="S15" s="59">
        <v>17</v>
      </c>
      <c r="T15" s="59">
        <v>18</v>
      </c>
      <c r="U15" s="59">
        <v>19</v>
      </c>
      <c r="V15" s="59">
        <v>20</v>
      </c>
      <c r="W15" s="59">
        <v>21</v>
      </c>
      <c r="X15" s="59">
        <v>22</v>
      </c>
      <c r="Y15" s="59">
        <v>23</v>
      </c>
      <c r="Z15" s="59">
        <v>24</v>
      </c>
      <c r="AA15" s="59">
        <v>25</v>
      </c>
      <c r="AB15" s="59">
        <v>26</v>
      </c>
      <c r="AC15" s="59">
        <v>27</v>
      </c>
      <c r="AD15" s="59">
        <v>28</v>
      </c>
    </row>
    <row r="16" spans="2:30" x14ac:dyDescent="0.3">
      <c r="B16" s="62" t="s">
        <v>516</v>
      </c>
      <c r="C16" s="63"/>
      <c r="D16" s="64"/>
      <c r="E16" s="65">
        <f t="shared" ref="E16:AA16" si="0">E17+E187+E339</f>
        <v>4186313856.5299997</v>
      </c>
      <c r="F16" s="65">
        <f t="shared" si="0"/>
        <v>8038939.4000000004</v>
      </c>
      <c r="G16" s="65">
        <f t="shared" si="0"/>
        <v>11300857.640000001</v>
      </c>
      <c r="H16" s="65">
        <f t="shared" si="0"/>
        <v>9558648.8000000007</v>
      </c>
      <c r="I16" s="65">
        <f t="shared" si="0"/>
        <v>14528353.300000001</v>
      </c>
      <c r="J16" s="65">
        <f t="shared" si="0"/>
        <v>41546945.609999999</v>
      </c>
      <c r="K16" s="65">
        <f t="shared" si="0"/>
        <v>0</v>
      </c>
      <c r="L16" s="152">
        <f t="shared" si="0"/>
        <v>45</v>
      </c>
      <c r="M16" s="65">
        <f t="shared" si="0"/>
        <v>179205532.75999999</v>
      </c>
      <c r="N16" s="65">
        <f t="shared" si="0"/>
        <v>288998.18884899997</v>
      </c>
      <c r="O16" s="65">
        <f t="shared" si="0"/>
        <v>3547372503.21</v>
      </c>
      <c r="P16" s="65">
        <f t="shared" si="0"/>
        <v>0</v>
      </c>
      <c r="Q16" s="65">
        <f t="shared" si="0"/>
        <v>0</v>
      </c>
      <c r="R16" s="65">
        <f t="shared" si="0"/>
        <v>21171.42</v>
      </c>
      <c r="S16" s="65">
        <f t="shared" si="0"/>
        <v>204921480.86999997</v>
      </c>
      <c r="T16" s="65">
        <f t="shared" si="0"/>
        <v>353.81</v>
      </c>
      <c r="U16" s="65">
        <f t="shared" si="0"/>
        <v>14005953.149999999</v>
      </c>
      <c r="V16" s="65">
        <f t="shared" si="0"/>
        <v>7409370.6399999997</v>
      </c>
      <c r="W16" s="65">
        <f t="shared" si="0"/>
        <v>0</v>
      </c>
      <c r="X16" s="65">
        <f t="shared" si="0"/>
        <v>1832114.13</v>
      </c>
      <c r="Y16" s="65">
        <f t="shared" si="0"/>
        <v>81115375.74000001</v>
      </c>
      <c r="Z16" s="65">
        <f t="shared" si="0"/>
        <v>64177781.280000009</v>
      </c>
      <c r="AA16" s="65">
        <f t="shared" si="0"/>
        <v>1300000</v>
      </c>
      <c r="AB16" s="66" t="s">
        <v>423</v>
      </c>
      <c r="AC16" s="66" t="s">
        <v>423</v>
      </c>
      <c r="AD16" s="66" t="s">
        <v>423</v>
      </c>
    </row>
    <row r="17" spans="1:30" ht="17.25" customHeight="1" x14ac:dyDescent="0.3">
      <c r="B17" s="67" t="s">
        <v>515</v>
      </c>
      <c r="C17" s="63"/>
      <c r="D17" s="64"/>
      <c r="E17" s="65">
        <f t="shared" ref="E17:AA17" si="1">E18+E45+E52+E68+E78+E80+E95+E99+E101+E103+E108+E105+E115+E119+E124+E129+E134+E140+E144+E152+E160+E162+E172+E178+E180+E184</f>
        <v>1310026716.0600002</v>
      </c>
      <c r="F17" s="65">
        <f t="shared" si="1"/>
        <v>622707.61</v>
      </c>
      <c r="G17" s="65">
        <f t="shared" si="1"/>
        <v>0</v>
      </c>
      <c r="H17" s="65">
        <f t="shared" si="1"/>
        <v>5000000</v>
      </c>
      <c r="I17" s="65">
        <f t="shared" si="1"/>
        <v>1467430.78</v>
      </c>
      <c r="J17" s="65">
        <f t="shared" si="1"/>
        <v>13682659.949999999</v>
      </c>
      <c r="K17" s="65">
        <f t="shared" si="1"/>
        <v>0</v>
      </c>
      <c r="L17" s="152">
        <f t="shared" si="1"/>
        <v>8</v>
      </c>
      <c r="M17" s="65">
        <f t="shared" si="1"/>
        <v>31822245.710000001</v>
      </c>
      <c r="N17" s="65">
        <f t="shared" si="1"/>
        <v>92750.186258999995</v>
      </c>
      <c r="O17" s="65">
        <f t="shared" si="1"/>
        <v>1103345750.8899999</v>
      </c>
      <c r="P17" s="65">
        <f t="shared" si="1"/>
        <v>0</v>
      </c>
      <c r="Q17" s="65">
        <f t="shared" si="1"/>
        <v>0</v>
      </c>
      <c r="R17" s="65">
        <f t="shared" si="1"/>
        <v>10638.4</v>
      </c>
      <c r="S17" s="65">
        <f t="shared" si="1"/>
        <v>91496654.959999993</v>
      </c>
      <c r="T17" s="65">
        <f t="shared" si="1"/>
        <v>353.81</v>
      </c>
      <c r="U17" s="65">
        <f t="shared" si="1"/>
        <v>14005953.149999999</v>
      </c>
      <c r="V17" s="65">
        <f t="shared" si="1"/>
        <v>0</v>
      </c>
      <c r="W17" s="65">
        <f t="shared" si="1"/>
        <v>0</v>
      </c>
      <c r="X17" s="65">
        <f t="shared" si="1"/>
        <v>0</v>
      </c>
      <c r="Y17" s="65">
        <f t="shared" si="1"/>
        <v>28385375.740000006</v>
      </c>
      <c r="Z17" s="65">
        <f t="shared" si="1"/>
        <v>19017937.27</v>
      </c>
      <c r="AA17" s="65">
        <f t="shared" si="1"/>
        <v>1180000</v>
      </c>
      <c r="AB17" s="66" t="s">
        <v>423</v>
      </c>
      <c r="AC17" s="66" t="s">
        <v>423</v>
      </c>
      <c r="AD17" s="66" t="s">
        <v>423</v>
      </c>
    </row>
    <row r="18" spans="1:30" x14ac:dyDescent="0.3">
      <c r="B18" s="67" t="s">
        <v>414</v>
      </c>
      <c r="C18" s="63"/>
      <c r="D18" s="64"/>
      <c r="E18" s="65">
        <f>SUM(E19:E44)</f>
        <v>238289442</v>
      </c>
      <c r="F18" s="65">
        <f t="shared" ref="F18:AA18" si="2">SUM(F19:F44)</f>
        <v>0</v>
      </c>
      <c r="G18" s="65">
        <f t="shared" si="2"/>
        <v>0</v>
      </c>
      <c r="H18" s="65">
        <f t="shared" si="2"/>
        <v>5000000</v>
      </c>
      <c r="I18" s="65">
        <f t="shared" si="2"/>
        <v>681335.4</v>
      </c>
      <c r="J18" s="65">
        <f t="shared" si="2"/>
        <v>0</v>
      </c>
      <c r="K18" s="65">
        <f t="shared" si="2"/>
        <v>0</v>
      </c>
      <c r="L18" s="152">
        <f t="shared" si="2"/>
        <v>3</v>
      </c>
      <c r="M18" s="65">
        <f t="shared" si="2"/>
        <v>12076530.959999999</v>
      </c>
      <c r="N18" s="65">
        <f t="shared" si="2"/>
        <v>16689.2</v>
      </c>
      <c r="O18" s="65">
        <f t="shared" si="2"/>
        <v>175499570.67000002</v>
      </c>
      <c r="P18" s="65">
        <f t="shared" si="2"/>
        <v>0</v>
      </c>
      <c r="Q18" s="65">
        <f t="shared" si="2"/>
        <v>0</v>
      </c>
      <c r="R18" s="65">
        <f t="shared" si="2"/>
        <v>3206.9</v>
      </c>
      <c r="S18" s="65">
        <f t="shared" si="2"/>
        <v>35676051.049999997</v>
      </c>
      <c r="T18" s="65">
        <f t="shared" si="2"/>
        <v>0</v>
      </c>
      <c r="U18" s="65">
        <f t="shared" si="2"/>
        <v>0</v>
      </c>
      <c r="V18" s="65">
        <f t="shared" si="2"/>
        <v>0</v>
      </c>
      <c r="W18" s="65">
        <f t="shared" si="2"/>
        <v>0</v>
      </c>
      <c r="X18" s="65">
        <f t="shared" si="2"/>
        <v>0</v>
      </c>
      <c r="Y18" s="65">
        <f t="shared" si="2"/>
        <v>5845987.5899999989</v>
      </c>
      <c r="Z18" s="65">
        <f t="shared" si="2"/>
        <v>3509966.33</v>
      </c>
      <c r="AA18" s="65">
        <f t="shared" si="2"/>
        <v>0</v>
      </c>
      <c r="AB18" s="66" t="s">
        <v>423</v>
      </c>
      <c r="AC18" s="66" t="s">
        <v>423</v>
      </c>
      <c r="AD18" s="66" t="s">
        <v>423</v>
      </c>
    </row>
    <row r="19" spans="1:30" x14ac:dyDescent="0.25">
      <c r="A19">
        <v>1</v>
      </c>
      <c r="B19" s="68">
        <f>SUBTOTAL(9,$A$19:A19)</f>
        <v>1</v>
      </c>
      <c r="C19" s="69" t="s">
        <v>34</v>
      </c>
      <c r="D19" s="70" t="s">
        <v>113</v>
      </c>
      <c r="E19" s="65">
        <f t="shared" ref="E19:E42" si="3">F19+G19+H19+I19+J19+K19+M19+O19+Q19+S19+U19+V19+W19+X19+Y19+Z19+AA19</f>
        <v>7508441.6000000006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153">
        <v>0</v>
      </c>
      <c r="M19" s="71">
        <v>0</v>
      </c>
      <c r="N19" s="71">
        <v>591.5</v>
      </c>
      <c r="O19" s="72">
        <v>7137776.3700000001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2">
        <v>263598.58</v>
      </c>
      <c r="Z19" s="72">
        <f>ROUND(O19*1.5%,2)</f>
        <v>107066.65</v>
      </c>
      <c r="AA19" s="71">
        <v>0</v>
      </c>
      <c r="AB19" s="70">
        <v>2026</v>
      </c>
      <c r="AC19" s="70">
        <v>2026</v>
      </c>
      <c r="AD19" s="70">
        <v>2026</v>
      </c>
    </row>
    <row r="20" spans="1:30" x14ac:dyDescent="0.25">
      <c r="A20">
        <v>1</v>
      </c>
      <c r="B20" s="68">
        <f>SUBTOTAL(9,$A$19:A20)</f>
        <v>2</v>
      </c>
      <c r="C20" s="69" t="s">
        <v>35</v>
      </c>
      <c r="D20" s="70" t="s">
        <v>113</v>
      </c>
      <c r="E20" s="65">
        <f t="shared" si="3"/>
        <v>774166.4800000001</v>
      </c>
      <c r="F20" s="65">
        <v>0</v>
      </c>
      <c r="G20" s="65">
        <v>0</v>
      </c>
      <c r="H20" s="65">
        <v>0</v>
      </c>
      <c r="I20" s="65">
        <f>644498.99+36836.41</f>
        <v>681335.4</v>
      </c>
      <c r="J20" s="65">
        <v>0</v>
      </c>
      <c r="K20" s="65">
        <v>0</v>
      </c>
      <c r="L20" s="152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2">
        <v>82611.05</v>
      </c>
      <c r="Z20" s="72">
        <f>ROUND(I20*1.5%,2)</f>
        <v>10220.030000000001</v>
      </c>
      <c r="AA20" s="71">
        <v>0</v>
      </c>
      <c r="AB20" s="70">
        <v>2026</v>
      </c>
      <c r="AC20" s="70">
        <v>2026</v>
      </c>
      <c r="AD20" s="70">
        <v>2026</v>
      </c>
    </row>
    <row r="21" spans="1:30" x14ac:dyDescent="0.25">
      <c r="A21">
        <v>1</v>
      </c>
      <c r="B21" s="68">
        <f>SUBTOTAL(9,$A$19:A21)</f>
        <v>3</v>
      </c>
      <c r="C21" s="73" t="s">
        <v>36</v>
      </c>
      <c r="D21" s="70" t="s">
        <v>113</v>
      </c>
      <c r="E21" s="65">
        <f t="shared" si="3"/>
        <v>4668041.8699999992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153">
        <v>0</v>
      </c>
      <c r="M21" s="71">
        <v>0</v>
      </c>
      <c r="N21" s="71">
        <v>260</v>
      </c>
      <c r="O21" s="72">
        <f>4421716.13+40617.68</f>
        <v>4462333.8099999996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2">
        <v>138773.04999999999</v>
      </c>
      <c r="Z21" s="72">
        <f t="shared" ref="Z21:Z26" si="4">ROUND(O21*1.5%,2)</f>
        <v>66935.009999999995</v>
      </c>
      <c r="AA21" s="71">
        <v>0</v>
      </c>
      <c r="AB21" s="70">
        <v>2026</v>
      </c>
      <c r="AC21" s="70">
        <v>2026</v>
      </c>
      <c r="AD21" s="70">
        <v>2026</v>
      </c>
    </row>
    <row r="22" spans="1:30" x14ac:dyDescent="0.25">
      <c r="A22">
        <v>1</v>
      </c>
      <c r="B22" s="68">
        <f>SUBTOTAL(9,$A$19:A22)</f>
        <v>4</v>
      </c>
      <c r="C22" s="73" t="s">
        <v>37</v>
      </c>
      <c r="D22" s="70" t="s">
        <v>113</v>
      </c>
      <c r="E22" s="65">
        <f t="shared" si="3"/>
        <v>4596225.9799999995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153">
        <v>0</v>
      </c>
      <c r="M22" s="71">
        <v>0</v>
      </c>
      <c r="N22" s="71">
        <v>256</v>
      </c>
      <c r="O22" s="72">
        <f>4350961.56+41517.88</f>
        <v>4392479.4399999995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2">
        <v>137859.35</v>
      </c>
      <c r="Z22" s="72">
        <f t="shared" si="4"/>
        <v>65887.19</v>
      </c>
      <c r="AA22" s="71">
        <v>0</v>
      </c>
      <c r="AB22" s="70">
        <v>2026</v>
      </c>
      <c r="AC22" s="70">
        <v>2026</v>
      </c>
      <c r="AD22" s="70">
        <v>2026</v>
      </c>
    </row>
    <row r="23" spans="1:30" x14ac:dyDescent="0.25">
      <c r="A23">
        <v>1</v>
      </c>
      <c r="B23" s="68">
        <f>SUBTOTAL(9,$A$19:A23)</f>
        <v>5</v>
      </c>
      <c r="C23" s="73" t="s">
        <v>39</v>
      </c>
      <c r="D23" s="70" t="s">
        <v>113</v>
      </c>
      <c r="E23" s="65">
        <f t="shared" si="3"/>
        <v>5617700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152">
        <v>0</v>
      </c>
      <c r="M23" s="65">
        <v>0</v>
      </c>
      <c r="N23" s="72">
        <v>590</v>
      </c>
      <c r="O23" s="72">
        <v>5534679.7999999998</v>
      </c>
      <c r="P23" s="65">
        <v>0</v>
      </c>
      <c r="Q23" s="65">
        <v>0</v>
      </c>
      <c r="R23" s="65">
        <v>0</v>
      </c>
      <c r="S23" s="65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 s="72">
        <v>0</v>
      </c>
      <c r="Z23" s="72">
        <f t="shared" si="4"/>
        <v>83020.2</v>
      </c>
      <c r="AA23" s="71">
        <v>0</v>
      </c>
      <c r="AB23" s="66" t="s">
        <v>426</v>
      </c>
      <c r="AC23" s="70">
        <v>2026</v>
      </c>
      <c r="AD23" s="70">
        <v>2026</v>
      </c>
    </row>
    <row r="24" spans="1:30" x14ac:dyDescent="0.25">
      <c r="A24">
        <v>1</v>
      </c>
      <c r="B24" s="68">
        <f>SUBTOTAL(9,$A$19:A24)</f>
        <v>6</v>
      </c>
      <c r="C24" s="73" t="s">
        <v>40</v>
      </c>
      <c r="D24" s="70" t="s">
        <v>113</v>
      </c>
      <c r="E24" s="65">
        <f t="shared" si="3"/>
        <v>7113000.9800000004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152">
        <v>0</v>
      </c>
      <c r="M24" s="65">
        <v>0</v>
      </c>
      <c r="N24" s="72">
        <v>550</v>
      </c>
      <c r="O24" s="72">
        <f>6810838.4-21.95</f>
        <v>6810816.4500000002</v>
      </c>
      <c r="P24" s="65">
        <v>0</v>
      </c>
      <c r="Q24" s="65">
        <v>0</v>
      </c>
      <c r="R24" s="65">
        <v>0</v>
      </c>
      <c r="S24" s="65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2">
        <v>200022.28</v>
      </c>
      <c r="Z24" s="72">
        <f t="shared" si="4"/>
        <v>102162.25</v>
      </c>
      <c r="AA24" s="71">
        <v>0</v>
      </c>
      <c r="AB24" s="70">
        <v>2026</v>
      </c>
      <c r="AC24" s="70">
        <v>2026</v>
      </c>
      <c r="AD24" s="70">
        <v>2026</v>
      </c>
    </row>
    <row r="25" spans="1:30" x14ac:dyDescent="0.25">
      <c r="A25">
        <v>1</v>
      </c>
      <c r="B25" s="68">
        <f>SUBTOTAL(9,$A$19:A25)</f>
        <v>7</v>
      </c>
      <c r="C25" s="73" t="s">
        <v>41</v>
      </c>
      <c r="D25" s="70" t="s">
        <v>113</v>
      </c>
      <c r="E25" s="65">
        <f t="shared" si="3"/>
        <v>9596585.3499999996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153">
        <v>0</v>
      </c>
      <c r="M25" s="71">
        <v>0</v>
      </c>
      <c r="N25" s="71">
        <v>756</v>
      </c>
      <c r="O25" s="72">
        <v>9184138.4100000001</v>
      </c>
      <c r="P25" s="71">
        <v>0</v>
      </c>
      <c r="Q25" s="71">
        <v>0</v>
      </c>
      <c r="R25" s="72">
        <v>0</v>
      </c>
      <c r="S25" s="72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2">
        <v>274684.86</v>
      </c>
      <c r="Z25" s="72">
        <f t="shared" si="4"/>
        <v>137762.07999999999</v>
      </c>
      <c r="AA25" s="71">
        <v>0</v>
      </c>
      <c r="AB25" s="70">
        <v>2026</v>
      </c>
      <c r="AC25" s="70">
        <v>2026</v>
      </c>
      <c r="AD25" s="70">
        <v>2026</v>
      </c>
    </row>
    <row r="26" spans="1:30" x14ac:dyDescent="0.25">
      <c r="A26">
        <v>1</v>
      </c>
      <c r="B26" s="68">
        <f>SUBTOTAL(9,$A$19:A26)</f>
        <v>8</v>
      </c>
      <c r="C26" s="73" t="s">
        <v>42</v>
      </c>
      <c r="D26" s="70" t="s">
        <v>113</v>
      </c>
      <c r="E26" s="65">
        <f t="shared" si="3"/>
        <v>4844653.5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152">
        <v>0</v>
      </c>
      <c r="M26" s="65">
        <v>0</v>
      </c>
      <c r="N26" s="72">
        <v>716.4</v>
      </c>
      <c r="O26" s="72">
        <v>4773057.6399999997</v>
      </c>
      <c r="P26" s="65">
        <v>0</v>
      </c>
      <c r="Q26" s="65">
        <v>0</v>
      </c>
      <c r="R26" s="65">
        <v>0</v>
      </c>
      <c r="S26" s="65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2">
        <v>0</v>
      </c>
      <c r="Z26" s="72">
        <f t="shared" si="4"/>
        <v>71595.86</v>
      </c>
      <c r="AA26" s="71">
        <v>0</v>
      </c>
      <c r="AB26" s="66" t="s">
        <v>426</v>
      </c>
      <c r="AC26" s="70">
        <v>2026</v>
      </c>
      <c r="AD26" s="70">
        <v>2026</v>
      </c>
    </row>
    <row r="27" spans="1:30" x14ac:dyDescent="0.25">
      <c r="A27">
        <v>1</v>
      </c>
      <c r="B27" s="68">
        <f>SUBTOTAL(9,$A$19:A27)</f>
        <v>9</v>
      </c>
      <c r="C27" s="73" t="s">
        <v>43</v>
      </c>
      <c r="D27" s="70" t="s">
        <v>113</v>
      </c>
      <c r="E27" s="65">
        <f t="shared" si="3"/>
        <v>8965837.4900000002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153">
        <v>0</v>
      </c>
      <c r="M27" s="71">
        <v>0</v>
      </c>
      <c r="N27" s="65">
        <v>0</v>
      </c>
      <c r="O27" s="65">
        <v>0</v>
      </c>
      <c r="P27" s="71">
        <v>0</v>
      </c>
      <c r="Q27" s="71">
        <v>0</v>
      </c>
      <c r="R27" s="72">
        <v>783</v>
      </c>
      <c r="S27" s="72">
        <v>8597054.9399999995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2">
        <v>239826.73</v>
      </c>
      <c r="Z27" s="74">
        <f>ROUND(S27*1.5%,2)</f>
        <v>128955.82</v>
      </c>
      <c r="AA27" s="71">
        <v>0</v>
      </c>
      <c r="AB27" s="70">
        <v>2026</v>
      </c>
      <c r="AC27" s="70">
        <v>2026</v>
      </c>
      <c r="AD27" s="70">
        <v>2026</v>
      </c>
    </row>
    <row r="28" spans="1:30" x14ac:dyDescent="0.25">
      <c r="A28">
        <v>1</v>
      </c>
      <c r="B28" s="68">
        <f>SUBTOTAL(9,$A$19:A28)</f>
        <v>10</v>
      </c>
      <c r="C28" s="73" t="s">
        <v>44</v>
      </c>
      <c r="D28" s="70" t="s">
        <v>113</v>
      </c>
      <c r="E28" s="65">
        <f t="shared" si="3"/>
        <v>15437764.24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153">
        <v>0</v>
      </c>
      <c r="M28" s="71">
        <v>0</v>
      </c>
      <c r="N28" s="65">
        <v>0</v>
      </c>
      <c r="O28" s="65">
        <v>0</v>
      </c>
      <c r="P28" s="71">
        <v>0</v>
      </c>
      <c r="Q28" s="71">
        <v>0</v>
      </c>
      <c r="R28" s="65">
        <v>1350</v>
      </c>
      <c r="S28" s="65">
        <f>15209619.94</f>
        <v>15209619.939999999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2">
        <v>0</v>
      </c>
      <c r="Z28" s="74">
        <f>ROUND(S28*1.5%,2)</f>
        <v>228144.3</v>
      </c>
      <c r="AA28" s="71">
        <v>0</v>
      </c>
      <c r="AB28" s="66" t="s">
        <v>426</v>
      </c>
      <c r="AC28" s="70">
        <v>2026</v>
      </c>
      <c r="AD28" s="70">
        <v>2026</v>
      </c>
    </row>
    <row r="29" spans="1:30" x14ac:dyDescent="0.25">
      <c r="A29">
        <v>1</v>
      </c>
      <c r="B29" s="68">
        <f>SUBTOTAL(9,$A$19:A29)</f>
        <v>11</v>
      </c>
      <c r="C29" s="73" t="s">
        <v>45</v>
      </c>
      <c r="D29" s="70" t="s">
        <v>113</v>
      </c>
      <c r="E29" s="65">
        <f t="shared" si="3"/>
        <v>10961010.770000001</v>
      </c>
      <c r="F29" s="65">
        <v>0</v>
      </c>
      <c r="G29" s="65">
        <v>0</v>
      </c>
      <c r="H29" s="65">
        <v>5000000</v>
      </c>
      <c r="I29" s="65">
        <v>0</v>
      </c>
      <c r="J29" s="65">
        <v>0</v>
      </c>
      <c r="K29" s="65">
        <v>0</v>
      </c>
      <c r="L29" s="152">
        <v>0</v>
      </c>
      <c r="M29" s="65">
        <v>0</v>
      </c>
      <c r="N29" s="72">
        <v>559</v>
      </c>
      <c r="O29" s="72">
        <f>5601981.05+197044.34</f>
        <v>5799025.3899999997</v>
      </c>
      <c r="P29" s="65">
        <v>0</v>
      </c>
      <c r="Q29" s="65">
        <v>0</v>
      </c>
      <c r="R29" s="65">
        <v>0</v>
      </c>
      <c r="S29" s="65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2">
        <v>0</v>
      </c>
      <c r="Z29" s="72">
        <f>ROUND(O29*1.5%,2)+ROUND(H29*1.5%,2)</f>
        <v>161985.38</v>
      </c>
      <c r="AA29" s="71">
        <v>0</v>
      </c>
      <c r="AB29" s="70" t="s">
        <v>426</v>
      </c>
      <c r="AC29" s="70">
        <v>2026</v>
      </c>
      <c r="AD29" s="70">
        <v>2026</v>
      </c>
    </row>
    <row r="30" spans="1:30" x14ac:dyDescent="0.25">
      <c r="A30">
        <v>1</v>
      </c>
      <c r="B30" s="68">
        <f>SUBTOTAL(9,$A$19:A30)</f>
        <v>12</v>
      </c>
      <c r="C30" s="73" t="s">
        <v>46</v>
      </c>
      <c r="D30" s="70" t="s">
        <v>113</v>
      </c>
      <c r="E30" s="65">
        <f t="shared" si="3"/>
        <v>5485890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152">
        <v>0</v>
      </c>
      <c r="M30" s="65">
        <v>0</v>
      </c>
      <c r="N30" s="72">
        <v>500</v>
      </c>
      <c r="O30" s="72">
        <v>5404817.7300000004</v>
      </c>
      <c r="P30" s="65">
        <v>0</v>
      </c>
      <c r="Q30" s="65">
        <v>0</v>
      </c>
      <c r="R30" s="65">
        <v>0</v>
      </c>
      <c r="S30" s="65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2">
        <v>0</v>
      </c>
      <c r="Z30" s="72">
        <f>ROUND(O30*1.5%,2)</f>
        <v>81072.27</v>
      </c>
      <c r="AA30" s="71">
        <v>0</v>
      </c>
      <c r="AB30" s="66" t="s">
        <v>426</v>
      </c>
      <c r="AC30" s="70">
        <v>2026</v>
      </c>
      <c r="AD30" s="70">
        <v>2026</v>
      </c>
    </row>
    <row r="31" spans="1:30" x14ac:dyDescent="0.25">
      <c r="A31">
        <v>1</v>
      </c>
      <c r="B31" s="68">
        <f>SUBTOTAL(9,$A$19:A31)</f>
        <v>13</v>
      </c>
      <c r="C31" s="73" t="s">
        <v>47</v>
      </c>
      <c r="D31" s="70" t="s">
        <v>113</v>
      </c>
      <c r="E31" s="65">
        <f t="shared" si="3"/>
        <v>8940311.5899999999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152">
        <v>0</v>
      </c>
      <c r="M31" s="65">
        <v>0</v>
      </c>
      <c r="N31" s="72">
        <v>704.3</v>
      </c>
      <c r="O31" s="72">
        <v>8509799.0999999996</v>
      </c>
      <c r="P31" s="65">
        <v>0</v>
      </c>
      <c r="Q31" s="65">
        <v>0</v>
      </c>
      <c r="R31" s="65">
        <v>0</v>
      </c>
      <c r="S31" s="65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2">
        <v>302865.5</v>
      </c>
      <c r="Z31" s="72">
        <f>ROUND(O31*1.5%,2)</f>
        <v>127646.99</v>
      </c>
      <c r="AA31" s="71">
        <v>0</v>
      </c>
      <c r="AB31" s="70">
        <v>2026</v>
      </c>
      <c r="AC31" s="70">
        <v>2026</v>
      </c>
      <c r="AD31" s="70">
        <v>2026</v>
      </c>
    </row>
    <row r="32" spans="1:30" x14ac:dyDescent="0.25">
      <c r="A32">
        <v>1</v>
      </c>
      <c r="B32" s="68">
        <f>SUBTOTAL(9,$A$19:A32)</f>
        <v>14</v>
      </c>
      <c r="C32" s="73" t="s">
        <v>48</v>
      </c>
      <c r="D32" s="70" t="s">
        <v>113</v>
      </c>
      <c r="E32" s="65">
        <f t="shared" si="3"/>
        <v>14344098.030000001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152">
        <v>0</v>
      </c>
      <c r="M32" s="65">
        <v>0</v>
      </c>
      <c r="N32" s="72">
        <v>1130</v>
      </c>
      <c r="O32" s="72">
        <v>13820448.82</v>
      </c>
      <c r="P32" s="65">
        <v>0</v>
      </c>
      <c r="Q32" s="65">
        <v>0</v>
      </c>
      <c r="R32" s="65">
        <v>0</v>
      </c>
      <c r="S32" s="65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2">
        <v>316342.48</v>
      </c>
      <c r="Z32" s="72">
        <f>ROUND(O32*1.5%,2)</f>
        <v>207306.73</v>
      </c>
      <c r="AA32" s="71">
        <v>0</v>
      </c>
      <c r="AB32" s="70">
        <v>2026</v>
      </c>
      <c r="AC32" s="70">
        <v>2026</v>
      </c>
      <c r="AD32" s="70">
        <v>2026</v>
      </c>
    </row>
    <row r="33" spans="1:30" x14ac:dyDescent="0.25">
      <c r="A33">
        <v>1</v>
      </c>
      <c r="B33" s="68">
        <f>SUBTOTAL(9,$A$19:A33)</f>
        <v>15</v>
      </c>
      <c r="C33" s="73" t="s">
        <v>49</v>
      </c>
      <c r="D33" s="70" t="s">
        <v>113</v>
      </c>
      <c r="E33" s="65">
        <f t="shared" si="3"/>
        <v>11257150.970000001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152">
        <v>0</v>
      </c>
      <c r="M33" s="65">
        <v>0</v>
      </c>
      <c r="N33" s="72">
        <v>627</v>
      </c>
      <c r="O33" s="72">
        <f>10893744.8+9208.86</f>
        <v>10902953.66</v>
      </c>
      <c r="P33" s="65">
        <v>0</v>
      </c>
      <c r="Q33" s="65">
        <v>0</v>
      </c>
      <c r="R33" s="65">
        <v>0</v>
      </c>
      <c r="S33" s="65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2">
        <v>190653.01</v>
      </c>
      <c r="Z33" s="72">
        <f>ROUND(O33*1.5%,2)</f>
        <v>163544.29999999999</v>
      </c>
      <c r="AA33" s="71">
        <v>0</v>
      </c>
      <c r="AB33" s="70">
        <v>2026</v>
      </c>
      <c r="AC33" s="70">
        <v>2026</v>
      </c>
      <c r="AD33" s="70">
        <v>2026</v>
      </c>
    </row>
    <row r="34" spans="1:30" x14ac:dyDescent="0.25">
      <c r="A34">
        <v>1</v>
      </c>
      <c r="B34" s="68">
        <f>SUBTOTAL(9,$A$19:A34)</f>
        <v>16</v>
      </c>
      <c r="C34" s="73" t="s">
        <v>50</v>
      </c>
      <c r="D34" s="70" t="s">
        <v>113</v>
      </c>
      <c r="E34" s="65">
        <f t="shared" si="3"/>
        <v>12489237.380000001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152">
        <v>3</v>
      </c>
      <c r="M34" s="65">
        <v>12076530.959999999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2">
        <v>231558.46</v>
      </c>
      <c r="Z34" s="72">
        <f>ROUND(M34*1.5%,2)</f>
        <v>181147.96</v>
      </c>
      <c r="AA34" s="71">
        <v>0</v>
      </c>
      <c r="AB34" s="70">
        <v>2026</v>
      </c>
      <c r="AC34" s="70">
        <v>2026</v>
      </c>
      <c r="AD34" s="70">
        <v>2026</v>
      </c>
    </row>
    <row r="35" spans="1:30" x14ac:dyDescent="0.25">
      <c r="A35">
        <v>1</v>
      </c>
      <c r="B35" s="68">
        <f>SUBTOTAL(9,$A$19:A35)</f>
        <v>17</v>
      </c>
      <c r="C35" s="73" t="s">
        <v>51</v>
      </c>
      <c r="D35" s="70" t="s">
        <v>113</v>
      </c>
      <c r="E35" s="65">
        <f t="shared" si="3"/>
        <v>16915996.48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152">
        <v>0</v>
      </c>
      <c r="M35" s="65">
        <v>0</v>
      </c>
      <c r="N35" s="65">
        <v>1308</v>
      </c>
      <c r="O35" s="65">
        <f>16459109.83-39035.57</f>
        <v>16420074.26</v>
      </c>
      <c r="P35" s="65">
        <v>0</v>
      </c>
      <c r="Q35" s="65">
        <v>0</v>
      </c>
      <c r="R35" s="65">
        <v>0</v>
      </c>
      <c r="S35" s="65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2">
        <v>249621.11</v>
      </c>
      <c r="Z35" s="72">
        <f t="shared" ref="Z35:Z41" si="5">ROUND(O35*1.5%,2)</f>
        <v>246301.11</v>
      </c>
      <c r="AA35" s="71">
        <v>0</v>
      </c>
      <c r="AB35" s="70">
        <v>2026</v>
      </c>
      <c r="AC35" s="70">
        <v>2026</v>
      </c>
      <c r="AD35" s="70">
        <v>2026</v>
      </c>
    </row>
    <row r="36" spans="1:30" x14ac:dyDescent="0.25">
      <c r="A36">
        <v>1</v>
      </c>
      <c r="B36" s="68">
        <f>SUBTOTAL(9,$A$19:A36)</f>
        <v>18</v>
      </c>
      <c r="C36" s="73" t="s">
        <v>52</v>
      </c>
      <c r="D36" s="70" t="s">
        <v>113</v>
      </c>
      <c r="E36" s="65">
        <f t="shared" si="3"/>
        <v>20801618.119999997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152">
        <v>0</v>
      </c>
      <c r="M36" s="65">
        <v>0</v>
      </c>
      <c r="N36" s="65">
        <v>3868</v>
      </c>
      <c r="O36" s="65">
        <v>20494205.039999999</v>
      </c>
      <c r="P36" s="65">
        <v>0</v>
      </c>
      <c r="Q36" s="65">
        <v>0</v>
      </c>
      <c r="R36" s="65">
        <v>0</v>
      </c>
      <c r="S36" s="65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2">
        <v>0</v>
      </c>
      <c r="Z36" s="72">
        <f t="shared" si="5"/>
        <v>307413.08</v>
      </c>
      <c r="AA36" s="71">
        <v>0</v>
      </c>
      <c r="AB36" s="66" t="s">
        <v>426</v>
      </c>
      <c r="AC36" s="70">
        <v>2026</v>
      </c>
      <c r="AD36" s="70">
        <v>2026</v>
      </c>
    </row>
    <row r="37" spans="1:30" x14ac:dyDescent="0.25">
      <c r="A37">
        <v>1</v>
      </c>
      <c r="B37" s="68">
        <f>SUBTOTAL(9,$A$19:A37)</f>
        <v>19</v>
      </c>
      <c r="C37" s="73" t="s">
        <v>53</v>
      </c>
      <c r="D37" s="70" t="s">
        <v>113</v>
      </c>
      <c r="E37" s="65">
        <f t="shared" si="3"/>
        <v>6518096.2699999986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152">
        <v>0</v>
      </c>
      <c r="M37" s="65">
        <v>0</v>
      </c>
      <c r="N37" s="65">
        <v>504</v>
      </c>
      <c r="O37" s="65">
        <f>6224725.39-41077.65</f>
        <v>6183647.7399999993</v>
      </c>
      <c r="P37" s="65">
        <v>0</v>
      </c>
      <c r="Q37" s="65">
        <v>0</v>
      </c>
      <c r="R37" s="65">
        <v>0</v>
      </c>
      <c r="S37" s="65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2">
        <v>241693.81</v>
      </c>
      <c r="Z37" s="72">
        <f t="shared" si="5"/>
        <v>92754.72</v>
      </c>
      <c r="AA37" s="71">
        <v>0</v>
      </c>
      <c r="AB37" s="70">
        <v>2026</v>
      </c>
      <c r="AC37" s="70">
        <v>2026</v>
      </c>
      <c r="AD37" s="70">
        <v>2026</v>
      </c>
    </row>
    <row r="38" spans="1:30" x14ac:dyDescent="0.25">
      <c r="A38">
        <v>1</v>
      </c>
      <c r="B38" s="68">
        <f>SUBTOTAL(9,$A$19:A38)</f>
        <v>20</v>
      </c>
      <c r="C38" s="73" t="s">
        <v>54</v>
      </c>
      <c r="D38" s="70" t="s">
        <v>113</v>
      </c>
      <c r="E38" s="65">
        <f t="shared" si="3"/>
        <v>17390629.430000003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153">
        <v>0</v>
      </c>
      <c r="M38" s="71">
        <v>0</v>
      </c>
      <c r="N38" s="71">
        <v>1370</v>
      </c>
      <c r="O38" s="72">
        <v>16589073.370000001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2">
        <v>552719.96</v>
      </c>
      <c r="Z38" s="72">
        <f t="shared" si="5"/>
        <v>248836.1</v>
      </c>
      <c r="AA38" s="71">
        <v>0</v>
      </c>
      <c r="AB38" s="70">
        <v>2026</v>
      </c>
      <c r="AC38" s="70">
        <v>2026</v>
      </c>
      <c r="AD38" s="70">
        <v>2026</v>
      </c>
    </row>
    <row r="39" spans="1:30" x14ac:dyDescent="0.25">
      <c r="A39">
        <v>1</v>
      </c>
      <c r="B39" s="68">
        <f>SUBTOTAL(9,$A$19:A39)</f>
        <v>21</v>
      </c>
      <c r="C39" s="73" t="s">
        <v>55</v>
      </c>
      <c r="D39" s="70" t="s">
        <v>113</v>
      </c>
      <c r="E39" s="65">
        <f t="shared" si="3"/>
        <v>7565564.080000001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153">
        <v>0</v>
      </c>
      <c r="M39" s="71">
        <v>0</v>
      </c>
      <c r="N39" s="72">
        <v>596</v>
      </c>
      <c r="O39" s="72">
        <v>7228812.4500000002</v>
      </c>
      <c r="P39" s="71">
        <v>0</v>
      </c>
      <c r="Q39" s="71">
        <v>0</v>
      </c>
      <c r="R39" s="72">
        <v>0</v>
      </c>
      <c r="S39" s="72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2">
        <v>228319.44</v>
      </c>
      <c r="Z39" s="72">
        <f t="shared" si="5"/>
        <v>108432.19</v>
      </c>
      <c r="AA39" s="71">
        <v>0</v>
      </c>
      <c r="AB39" s="70">
        <v>2026</v>
      </c>
      <c r="AC39" s="70">
        <v>2026</v>
      </c>
      <c r="AD39" s="70">
        <v>2026</v>
      </c>
    </row>
    <row r="40" spans="1:30" x14ac:dyDescent="0.25">
      <c r="A40">
        <v>1</v>
      </c>
      <c r="B40" s="68">
        <f>SUBTOTAL(9,$A$19:A40)</f>
        <v>22</v>
      </c>
      <c r="C40" s="73" t="s">
        <v>56</v>
      </c>
      <c r="D40" s="70" t="s">
        <v>113</v>
      </c>
      <c r="E40" s="65">
        <f t="shared" si="3"/>
        <v>7400543.5999999996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152">
        <v>0</v>
      </c>
      <c r="M40" s="65">
        <v>0</v>
      </c>
      <c r="N40" s="72">
        <v>583</v>
      </c>
      <c r="O40" s="72">
        <f>7094131.63-79324.77</f>
        <v>7014806.8600000003</v>
      </c>
      <c r="P40" s="65">
        <v>0</v>
      </c>
      <c r="Q40" s="65">
        <v>0</v>
      </c>
      <c r="R40" s="65">
        <v>0</v>
      </c>
      <c r="S40" s="65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2">
        <v>280514.64</v>
      </c>
      <c r="Z40" s="72">
        <f t="shared" si="5"/>
        <v>105222.1</v>
      </c>
      <c r="AA40" s="71">
        <v>0</v>
      </c>
      <c r="AB40" s="70">
        <v>2026</v>
      </c>
      <c r="AC40" s="70">
        <v>2026</v>
      </c>
      <c r="AD40" s="70">
        <v>2026</v>
      </c>
    </row>
    <row r="41" spans="1:30" x14ac:dyDescent="0.25">
      <c r="A41">
        <v>1</v>
      </c>
      <c r="B41" s="68">
        <f>SUBTOTAL(9,$A$19:A41)</f>
        <v>23</v>
      </c>
      <c r="C41" s="73" t="s">
        <v>57</v>
      </c>
      <c r="D41" s="70" t="s">
        <v>113</v>
      </c>
      <c r="E41" s="65">
        <f t="shared" si="3"/>
        <v>15486547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152">
        <v>0</v>
      </c>
      <c r="M41" s="65">
        <v>0</v>
      </c>
      <c r="N41" s="65">
        <v>1220</v>
      </c>
      <c r="O41" s="65">
        <f>15060637.44-224013.11</f>
        <v>14836624.33</v>
      </c>
      <c r="P41" s="65">
        <v>0</v>
      </c>
      <c r="Q41" s="65">
        <v>0</v>
      </c>
      <c r="R41" s="65">
        <v>0</v>
      </c>
      <c r="S41" s="65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2">
        <v>427373.31</v>
      </c>
      <c r="Z41" s="72">
        <f t="shared" si="5"/>
        <v>222549.36</v>
      </c>
      <c r="AA41" s="71">
        <v>0</v>
      </c>
      <c r="AB41" s="70">
        <v>2026</v>
      </c>
      <c r="AC41" s="70">
        <v>2026</v>
      </c>
      <c r="AD41" s="70">
        <v>2026</v>
      </c>
    </row>
    <row r="42" spans="1:30" x14ac:dyDescent="0.25">
      <c r="A42">
        <v>1</v>
      </c>
      <c r="B42" s="68">
        <f>SUBTOTAL(9,$A$19:A42)</f>
        <v>24</v>
      </c>
      <c r="C42" s="73" t="s">
        <v>38</v>
      </c>
      <c r="D42" s="70" t="s">
        <v>113</v>
      </c>
      <c r="E42" s="65">
        <f t="shared" si="3"/>
        <v>12323380.82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153">
        <v>0</v>
      </c>
      <c r="M42" s="71">
        <v>0</v>
      </c>
      <c r="N42" s="65">
        <v>0</v>
      </c>
      <c r="O42" s="65">
        <v>0</v>
      </c>
      <c r="P42" s="71">
        <v>0</v>
      </c>
      <c r="Q42" s="71">
        <v>0</v>
      </c>
      <c r="R42" s="71">
        <v>1073.9000000000001</v>
      </c>
      <c r="S42" s="71">
        <v>11869376.17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2">
        <v>200000</v>
      </c>
      <c r="Z42" s="72">
        <v>254004.65</v>
      </c>
      <c r="AA42" s="71">
        <v>0</v>
      </c>
      <c r="AB42" s="70">
        <v>2026</v>
      </c>
      <c r="AC42" s="70">
        <v>2026</v>
      </c>
      <c r="AD42" s="70">
        <v>2026</v>
      </c>
    </row>
    <row r="43" spans="1:30" x14ac:dyDescent="0.3">
      <c r="A43">
        <v>1</v>
      </c>
      <c r="B43" s="68">
        <f>SUBTOTAL(9,$A$19:A43)</f>
        <v>25</v>
      </c>
      <c r="C43" s="75" t="s">
        <v>703</v>
      </c>
      <c r="D43" s="59" t="s">
        <v>113</v>
      </c>
      <c r="E43" s="72">
        <v>880580.77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154">
        <v>0</v>
      </c>
      <c r="M43" s="76">
        <v>0</v>
      </c>
      <c r="N43" s="72">
        <v>0</v>
      </c>
      <c r="O43" s="72">
        <v>0</v>
      </c>
      <c r="P43" s="76">
        <v>0</v>
      </c>
      <c r="Q43" s="76">
        <v>0</v>
      </c>
      <c r="R43" s="72">
        <v>0</v>
      </c>
      <c r="S43" s="72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2">
        <v>880580.77</v>
      </c>
      <c r="Z43" s="77">
        <v>0</v>
      </c>
      <c r="AA43" s="76">
        <v>0</v>
      </c>
      <c r="AB43" s="59">
        <v>2026</v>
      </c>
      <c r="AC43" s="59" t="s">
        <v>426</v>
      </c>
      <c r="AD43" s="59" t="s">
        <v>426</v>
      </c>
    </row>
    <row r="44" spans="1:30" x14ac:dyDescent="0.3">
      <c r="A44">
        <v>1</v>
      </c>
      <c r="B44" s="68">
        <f>SUBTOTAL(9,$A$19:A44)</f>
        <v>26</v>
      </c>
      <c r="C44" s="78" t="s">
        <v>704</v>
      </c>
      <c r="D44" s="59" t="s">
        <v>113</v>
      </c>
      <c r="E44" s="72">
        <v>406369.2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154">
        <v>0</v>
      </c>
      <c r="M44" s="76">
        <v>0</v>
      </c>
      <c r="N44" s="72">
        <v>0</v>
      </c>
      <c r="O44" s="72">
        <v>0</v>
      </c>
      <c r="P44" s="76">
        <v>0</v>
      </c>
      <c r="Q44" s="76">
        <v>0</v>
      </c>
      <c r="R44" s="72">
        <v>0</v>
      </c>
      <c r="S44" s="72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2">
        <v>406369.2</v>
      </c>
      <c r="Z44" s="77">
        <v>0</v>
      </c>
      <c r="AA44" s="76">
        <v>0</v>
      </c>
      <c r="AB44" s="59">
        <v>2026</v>
      </c>
      <c r="AC44" s="59" t="s">
        <v>426</v>
      </c>
      <c r="AD44" s="59" t="s">
        <v>426</v>
      </c>
    </row>
    <row r="45" spans="1:30" x14ac:dyDescent="0.3">
      <c r="B45" s="67" t="s">
        <v>417</v>
      </c>
      <c r="C45" s="63"/>
      <c r="D45" s="64"/>
      <c r="E45" s="65">
        <f t="shared" ref="E45:AA45" si="6">SUM(E46:E51)</f>
        <v>63240830.420000002</v>
      </c>
      <c r="F45" s="65">
        <f t="shared" si="6"/>
        <v>0</v>
      </c>
      <c r="G45" s="65">
        <f t="shared" si="6"/>
        <v>0</v>
      </c>
      <c r="H45" s="65">
        <f t="shared" si="6"/>
        <v>0</v>
      </c>
      <c r="I45" s="65">
        <f t="shared" si="6"/>
        <v>0</v>
      </c>
      <c r="J45" s="65">
        <f t="shared" si="6"/>
        <v>0</v>
      </c>
      <c r="K45" s="65">
        <f t="shared" si="6"/>
        <v>0</v>
      </c>
      <c r="L45" s="152">
        <f t="shared" si="6"/>
        <v>0</v>
      </c>
      <c r="M45" s="65">
        <f t="shared" si="6"/>
        <v>0</v>
      </c>
      <c r="N45" s="65">
        <f t="shared" si="6"/>
        <v>4696</v>
      </c>
      <c r="O45" s="65">
        <f t="shared" si="6"/>
        <v>58330623.150000006</v>
      </c>
      <c r="P45" s="65">
        <f t="shared" si="6"/>
        <v>0</v>
      </c>
      <c r="Q45" s="65">
        <f t="shared" si="6"/>
        <v>0</v>
      </c>
      <c r="R45" s="65">
        <f t="shared" si="6"/>
        <v>450.1</v>
      </c>
      <c r="S45" s="65">
        <f t="shared" si="6"/>
        <v>2835864.3</v>
      </c>
      <c r="T45" s="65">
        <f t="shared" si="6"/>
        <v>0</v>
      </c>
      <c r="U45" s="65">
        <f t="shared" si="6"/>
        <v>0</v>
      </c>
      <c r="V45" s="65">
        <f t="shared" si="6"/>
        <v>0</v>
      </c>
      <c r="W45" s="65">
        <f t="shared" si="6"/>
        <v>0</v>
      </c>
      <c r="X45" s="65">
        <f t="shared" si="6"/>
        <v>0</v>
      </c>
      <c r="Y45" s="65">
        <f t="shared" si="6"/>
        <v>1036845.66</v>
      </c>
      <c r="Z45" s="65">
        <f t="shared" si="6"/>
        <v>917497.31</v>
      </c>
      <c r="AA45" s="65">
        <f t="shared" si="6"/>
        <v>120000</v>
      </c>
      <c r="AB45" s="66" t="s">
        <v>423</v>
      </c>
      <c r="AC45" s="66" t="s">
        <v>423</v>
      </c>
      <c r="AD45" s="66" t="s">
        <v>423</v>
      </c>
    </row>
    <row r="46" spans="1:30" x14ac:dyDescent="0.3">
      <c r="A46">
        <v>1</v>
      </c>
      <c r="B46" s="68">
        <f>SUBTOTAL(9,$A$19:A46)</f>
        <v>27</v>
      </c>
      <c r="C46" s="73" t="s">
        <v>157</v>
      </c>
      <c r="D46" s="79" t="s">
        <v>169</v>
      </c>
      <c r="E46" s="65">
        <f>F46+G46+H46+I46+J46+K46+M46+O46+Q46+S46+U46+V46+W46+X46+Z46+AA46+Y46</f>
        <v>17407167.800000001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155">
        <v>0</v>
      </c>
      <c r="M46" s="77">
        <v>0</v>
      </c>
      <c r="N46" s="72">
        <v>1361.4</v>
      </c>
      <c r="O46" s="72">
        <v>16916573.539999999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2">
        <v>236845.66</v>
      </c>
      <c r="Z46" s="77">
        <f>ROUND(O46*1.5%,2)</f>
        <v>253748.6</v>
      </c>
      <c r="AA46" s="77">
        <v>0</v>
      </c>
      <c r="AB46" s="70">
        <v>2026</v>
      </c>
      <c r="AC46" s="70">
        <v>2026</v>
      </c>
      <c r="AD46" s="70">
        <v>2026</v>
      </c>
    </row>
    <row r="47" spans="1:30" x14ac:dyDescent="0.3">
      <c r="A47">
        <v>1</v>
      </c>
      <c r="B47" s="68">
        <f>SUBTOTAL(9,$A$19:A47)</f>
        <v>28</v>
      </c>
      <c r="C47" s="73" t="s">
        <v>158</v>
      </c>
      <c r="D47" s="79" t="s">
        <v>169</v>
      </c>
      <c r="E47" s="65">
        <f>F47+G47+H47+I47+J47+K47+M47+O47+Q47+S47+U47+V47+W47+X47+Z47+AA47+Y47</f>
        <v>15117992.119999999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155">
        <v>0</v>
      </c>
      <c r="M47" s="77">
        <v>0</v>
      </c>
      <c r="N47" s="72">
        <v>842</v>
      </c>
      <c r="O47" s="72">
        <v>14697529.18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77">
        <v>200000</v>
      </c>
      <c r="Z47" s="77">
        <f>ROUND(O47*1.5%,2)</f>
        <v>220462.94</v>
      </c>
      <c r="AA47" s="77">
        <v>0</v>
      </c>
      <c r="AB47" s="70">
        <v>2026</v>
      </c>
      <c r="AC47" s="70">
        <v>2026</v>
      </c>
      <c r="AD47" s="70">
        <v>2026</v>
      </c>
    </row>
    <row r="48" spans="1:30" x14ac:dyDescent="0.3">
      <c r="A48">
        <v>1</v>
      </c>
      <c r="B48" s="68">
        <f>SUBTOTAL(9,$A$19:A48)</f>
        <v>29</v>
      </c>
      <c r="C48" s="73" t="s">
        <v>159</v>
      </c>
      <c r="D48" s="79" t="s">
        <v>169</v>
      </c>
      <c r="E48" s="65">
        <f>F48+G48+H48+I48+J48+K48+M48+O48+Q48+S48+U48+V48+W48+X48+Z48+AA48+Y48</f>
        <v>9736689.1699999999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155">
        <v>0</v>
      </c>
      <c r="M48" s="77">
        <v>0</v>
      </c>
      <c r="N48" s="72">
        <v>767</v>
      </c>
      <c r="O48" s="72">
        <v>9395752.8800000008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0</v>
      </c>
      <c r="Y48" s="77">
        <v>200000</v>
      </c>
      <c r="Z48" s="77">
        <f>ROUND(O48*1.5%,2)</f>
        <v>140936.29</v>
      </c>
      <c r="AA48" s="77">
        <v>0</v>
      </c>
      <c r="AB48" s="70">
        <v>2026</v>
      </c>
      <c r="AC48" s="70">
        <v>2026</v>
      </c>
      <c r="AD48" s="70">
        <v>2026</v>
      </c>
    </row>
    <row r="49" spans="1:30" x14ac:dyDescent="0.3">
      <c r="A49">
        <v>1</v>
      </c>
      <c r="B49" s="68">
        <f>SUBTOTAL(9,$A$19:A49)</f>
        <v>30</v>
      </c>
      <c r="C49" s="73" t="s">
        <v>579</v>
      </c>
      <c r="D49" s="79" t="s">
        <v>169</v>
      </c>
      <c r="E49" s="65">
        <f>F49+G49+H49+I49+J49+K49+M49+O49+Q49+S49+U49+V49+W49+X49+Z49+AA49+Y49</f>
        <v>8623509.2400000002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155">
        <v>0</v>
      </c>
      <c r="M49" s="77">
        <v>0</v>
      </c>
      <c r="N49" s="72">
        <v>827.6</v>
      </c>
      <c r="O49" s="72">
        <v>8299023.8799999999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7">
        <v>200000</v>
      </c>
      <c r="Z49" s="77">
        <f>ROUND(O49*1.5%,2)</f>
        <v>124485.36</v>
      </c>
      <c r="AA49" s="77">
        <v>0</v>
      </c>
      <c r="AB49" s="70">
        <v>2026</v>
      </c>
      <c r="AC49" s="70">
        <v>2026</v>
      </c>
      <c r="AD49" s="70">
        <v>2026</v>
      </c>
    </row>
    <row r="50" spans="1:30" x14ac:dyDescent="0.3">
      <c r="A50">
        <v>1</v>
      </c>
      <c r="B50" s="68">
        <f>SUBTOTAL(9,$A$19:A50)</f>
        <v>31</v>
      </c>
      <c r="C50" s="73" t="s">
        <v>580</v>
      </c>
      <c r="D50" s="79" t="s">
        <v>169</v>
      </c>
      <c r="E50" s="65">
        <f>F50+G50+H50+I50+J50+K50+M50+O50+Q50+S50+U50+V50+W50+X50+Z50+AA50+Y50</f>
        <v>9357069.8300000001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155">
        <v>0</v>
      </c>
      <c r="M50" s="77">
        <v>0</v>
      </c>
      <c r="N50" s="72">
        <v>898</v>
      </c>
      <c r="O50" s="72">
        <v>9021743.6699999999</v>
      </c>
      <c r="P50" s="77">
        <v>0</v>
      </c>
      <c r="Q50" s="77"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0</v>
      </c>
      <c r="Y50" s="77">
        <v>200000</v>
      </c>
      <c r="Z50" s="77">
        <f>ROUND(O50*1.5%,2)</f>
        <v>135326.16</v>
      </c>
      <c r="AA50" s="77">
        <v>0</v>
      </c>
      <c r="AB50" s="70">
        <v>2026</v>
      </c>
      <c r="AC50" s="70">
        <v>2026</v>
      </c>
      <c r="AD50" s="70">
        <v>2026</v>
      </c>
    </row>
    <row r="51" spans="1:30" s="82" customFormat="1" x14ac:dyDescent="0.3">
      <c r="A51">
        <v>1</v>
      </c>
      <c r="B51" s="68">
        <f>SUBTOTAL(9,$A$19:A51)</f>
        <v>32</v>
      </c>
      <c r="C51" s="78" t="s">
        <v>603</v>
      </c>
      <c r="D51" s="79" t="s">
        <v>169</v>
      </c>
      <c r="E51" s="72">
        <f>F51+G51+H51+I51+J51+K51+M51+O51+Q51+S51+U51+V51+W51+X51+Y51+Z51+AA51</f>
        <v>2998402.26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154">
        <v>0</v>
      </c>
      <c r="M51" s="76">
        <v>0</v>
      </c>
      <c r="N51" s="81">
        <v>0</v>
      </c>
      <c r="O51" s="72">
        <v>0</v>
      </c>
      <c r="P51" s="76">
        <v>0</v>
      </c>
      <c r="Q51" s="76">
        <v>0</v>
      </c>
      <c r="R51" s="71">
        <v>450.1</v>
      </c>
      <c r="S51" s="71">
        <f>2029178.86+806685.44</f>
        <v>2835864.3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2">
        <f>ROUND(S51*1.5%,2)</f>
        <v>42537.96</v>
      </c>
      <c r="AA51" s="76">
        <v>120000</v>
      </c>
      <c r="AB51" s="59" t="s">
        <v>426</v>
      </c>
      <c r="AC51" s="59">
        <v>2026</v>
      </c>
      <c r="AD51" s="59">
        <v>2026</v>
      </c>
    </row>
    <row r="52" spans="1:30" x14ac:dyDescent="0.3">
      <c r="B52" s="67" t="s">
        <v>415</v>
      </c>
      <c r="C52" s="63"/>
      <c r="D52" s="64"/>
      <c r="E52" s="65">
        <f>SUM(E53:E67)</f>
        <v>120022693.7</v>
      </c>
      <c r="F52" s="65">
        <f t="shared" ref="F52:AA52" si="7">SUM(F53:F67)</f>
        <v>0</v>
      </c>
      <c r="G52" s="65">
        <f t="shared" si="7"/>
        <v>0</v>
      </c>
      <c r="H52" s="65">
        <f t="shared" si="7"/>
        <v>0</v>
      </c>
      <c r="I52" s="65">
        <f t="shared" si="7"/>
        <v>0</v>
      </c>
      <c r="J52" s="65">
        <f t="shared" si="7"/>
        <v>4286187.41</v>
      </c>
      <c r="K52" s="65">
        <f t="shared" si="7"/>
        <v>0</v>
      </c>
      <c r="L52" s="155">
        <f t="shared" si="7"/>
        <v>0</v>
      </c>
      <c r="M52" s="65">
        <f t="shared" si="7"/>
        <v>0</v>
      </c>
      <c r="N52" s="65">
        <f t="shared" si="7"/>
        <v>8306.19</v>
      </c>
      <c r="O52" s="65">
        <f t="shared" si="7"/>
        <v>100373165.15000001</v>
      </c>
      <c r="P52" s="65">
        <f t="shared" si="7"/>
        <v>0</v>
      </c>
      <c r="Q52" s="65">
        <f t="shared" si="7"/>
        <v>0</v>
      </c>
      <c r="R52" s="65">
        <f t="shared" si="7"/>
        <v>2445.6999999999998</v>
      </c>
      <c r="S52" s="65">
        <f t="shared" si="7"/>
        <v>10129750.699999999</v>
      </c>
      <c r="T52" s="65">
        <f t="shared" si="7"/>
        <v>0</v>
      </c>
      <c r="U52" s="65">
        <f t="shared" si="7"/>
        <v>0</v>
      </c>
      <c r="V52" s="65">
        <f t="shared" si="7"/>
        <v>0</v>
      </c>
      <c r="W52" s="65">
        <f t="shared" si="7"/>
        <v>0</v>
      </c>
      <c r="X52" s="65">
        <f t="shared" si="7"/>
        <v>0</v>
      </c>
      <c r="Y52" s="65">
        <f t="shared" si="7"/>
        <v>3393373.0300000003</v>
      </c>
      <c r="Z52" s="65">
        <f t="shared" si="7"/>
        <v>1720217.4100000001</v>
      </c>
      <c r="AA52" s="65">
        <f t="shared" si="7"/>
        <v>120000</v>
      </c>
      <c r="AB52" s="66" t="s">
        <v>423</v>
      </c>
      <c r="AC52" s="66" t="s">
        <v>423</v>
      </c>
      <c r="AD52" s="66" t="s">
        <v>423</v>
      </c>
    </row>
    <row r="53" spans="1:30" x14ac:dyDescent="0.3">
      <c r="A53">
        <v>1</v>
      </c>
      <c r="B53" s="68">
        <f>SUBTOTAL(9,$A$19:A53)</f>
        <v>33</v>
      </c>
      <c r="C53" s="73" t="s">
        <v>114</v>
      </c>
      <c r="D53" s="79" t="s">
        <v>153</v>
      </c>
      <c r="E53" s="65">
        <f t="shared" ref="E53:E63" si="8">F53+G53+H53+I53+J53+K53+M53+O53+Q53+S53+U53+V53+W53+X53+Z53+AA53+Y53</f>
        <v>4823913.8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155">
        <v>0</v>
      </c>
      <c r="M53" s="77">
        <v>0</v>
      </c>
      <c r="N53" s="72">
        <v>380</v>
      </c>
      <c r="O53" s="72">
        <v>4579299.0299999993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  <c r="W53" s="77">
        <v>0</v>
      </c>
      <c r="X53" s="77">
        <v>0</v>
      </c>
      <c r="Y53" s="72">
        <v>175925.28</v>
      </c>
      <c r="Z53" s="77">
        <f>ROUND(O53*1.5%,2)</f>
        <v>68689.490000000005</v>
      </c>
      <c r="AA53" s="77">
        <v>0</v>
      </c>
      <c r="AB53" s="70">
        <v>2026</v>
      </c>
      <c r="AC53" s="70">
        <v>2026</v>
      </c>
      <c r="AD53" s="70">
        <v>2026</v>
      </c>
    </row>
    <row r="54" spans="1:30" x14ac:dyDescent="0.3">
      <c r="A54">
        <v>1</v>
      </c>
      <c r="B54" s="68">
        <f>SUBTOTAL(9,$A$19:A54)</f>
        <v>34</v>
      </c>
      <c r="C54" s="73" t="s">
        <v>115</v>
      </c>
      <c r="D54" s="79" t="s">
        <v>153</v>
      </c>
      <c r="E54" s="65">
        <f t="shared" si="8"/>
        <v>4448062.7200000007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155">
        <v>0</v>
      </c>
      <c r="M54" s="77">
        <v>0</v>
      </c>
      <c r="N54" s="72">
        <v>0</v>
      </c>
      <c r="O54" s="72">
        <v>0</v>
      </c>
      <c r="P54" s="77">
        <v>0</v>
      </c>
      <c r="Q54" s="77">
        <v>0</v>
      </c>
      <c r="R54" s="72">
        <v>387.6</v>
      </c>
      <c r="S54" s="72">
        <v>4185283.47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200000</v>
      </c>
      <c r="Z54" s="77">
        <f>ROUND(S54*1.5%,2)</f>
        <v>62779.25</v>
      </c>
      <c r="AA54" s="77">
        <v>0</v>
      </c>
      <c r="AB54" s="70">
        <v>2026</v>
      </c>
      <c r="AC54" s="70">
        <v>2026</v>
      </c>
      <c r="AD54" s="70">
        <v>2026</v>
      </c>
    </row>
    <row r="55" spans="1:30" x14ac:dyDescent="0.3">
      <c r="A55">
        <v>1</v>
      </c>
      <c r="B55" s="68">
        <f>SUBTOTAL(9,$A$19:A55)</f>
        <v>35</v>
      </c>
      <c r="C55" s="73" t="s">
        <v>116</v>
      </c>
      <c r="D55" s="79" t="s">
        <v>153</v>
      </c>
      <c r="E55" s="65">
        <f t="shared" si="8"/>
        <v>3808352.9999999995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155">
        <v>0</v>
      </c>
      <c r="M55" s="77">
        <v>0</v>
      </c>
      <c r="N55" s="72">
        <v>300</v>
      </c>
      <c r="O55" s="72">
        <v>3600688.09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7">
        <v>0</v>
      </c>
      <c r="X55" s="77">
        <v>0</v>
      </c>
      <c r="Y55" s="72">
        <v>153654.59</v>
      </c>
      <c r="Z55" s="77">
        <f t="shared" ref="Z55:Z62" si="9">ROUND(O55*1.5%,2)</f>
        <v>54010.32</v>
      </c>
      <c r="AA55" s="77">
        <v>0</v>
      </c>
      <c r="AB55" s="70">
        <v>2026</v>
      </c>
      <c r="AC55" s="70">
        <v>2026</v>
      </c>
      <c r="AD55" s="70">
        <v>2026</v>
      </c>
    </row>
    <row r="56" spans="1:30" x14ac:dyDescent="0.3">
      <c r="A56">
        <v>1</v>
      </c>
      <c r="B56" s="68">
        <f>SUBTOTAL(9,$A$19:A56)</f>
        <v>36</v>
      </c>
      <c r="C56" s="73" t="s">
        <v>117</v>
      </c>
      <c r="D56" s="79" t="s">
        <v>153</v>
      </c>
      <c r="E56" s="65">
        <f t="shared" si="8"/>
        <v>13849476.09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155">
        <v>0</v>
      </c>
      <c r="M56" s="77">
        <v>0</v>
      </c>
      <c r="N56" s="72">
        <v>1165</v>
      </c>
      <c r="O56" s="72">
        <v>13255343.66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0</v>
      </c>
      <c r="Y56" s="72">
        <v>395302.28</v>
      </c>
      <c r="Z56" s="77">
        <f t="shared" si="9"/>
        <v>198830.15</v>
      </c>
      <c r="AA56" s="77">
        <v>0</v>
      </c>
      <c r="AB56" s="70">
        <v>2026</v>
      </c>
      <c r="AC56" s="70">
        <v>2026</v>
      </c>
      <c r="AD56" s="70">
        <v>2026</v>
      </c>
    </row>
    <row r="57" spans="1:30" x14ac:dyDescent="0.3">
      <c r="A57">
        <v>1</v>
      </c>
      <c r="B57" s="68">
        <f>SUBTOTAL(9,$A$19:A57)</f>
        <v>37</v>
      </c>
      <c r="C57" s="73" t="s">
        <v>118</v>
      </c>
      <c r="D57" s="79" t="s">
        <v>153</v>
      </c>
      <c r="E57" s="65">
        <f t="shared" si="8"/>
        <v>5866133.0800000001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155">
        <v>0</v>
      </c>
      <c r="M57" s="77">
        <v>0</v>
      </c>
      <c r="N57" s="72">
        <v>462</v>
      </c>
      <c r="O57" s="72">
        <v>5601730.0800000001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0</v>
      </c>
      <c r="Y57" s="72">
        <v>180377.05</v>
      </c>
      <c r="Z57" s="77">
        <f t="shared" si="9"/>
        <v>84025.95</v>
      </c>
      <c r="AA57" s="77">
        <v>0</v>
      </c>
      <c r="AB57" s="70">
        <v>2026</v>
      </c>
      <c r="AC57" s="70">
        <v>2026</v>
      </c>
      <c r="AD57" s="70">
        <v>2026</v>
      </c>
    </row>
    <row r="58" spans="1:30" x14ac:dyDescent="0.3">
      <c r="A58">
        <v>1</v>
      </c>
      <c r="B58" s="68">
        <f>SUBTOTAL(9,$A$19:A58)</f>
        <v>38</v>
      </c>
      <c r="C58" s="73" t="s">
        <v>119</v>
      </c>
      <c r="D58" s="79" t="s">
        <v>153</v>
      </c>
      <c r="E58" s="65">
        <f t="shared" si="8"/>
        <v>8162569.9299999997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155">
        <v>0</v>
      </c>
      <c r="M58" s="77">
        <v>0</v>
      </c>
      <c r="N58" s="72">
        <v>643</v>
      </c>
      <c r="O58" s="72">
        <v>7794303.8100000005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2">
        <v>251351.56</v>
      </c>
      <c r="Z58" s="77">
        <f t="shared" si="9"/>
        <v>116914.56</v>
      </c>
      <c r="AA58" s="77">
        <v>0</v>
      </c>
      <c r="AB58" s="70">
        <v>2026</v>
      </c>
      <c r="AC58" s="70">
        <v>2026</v>
      </c>
      <c r="AD58" s="70">
        <v>2026</v>
      </c>
    </row>
    <row r="59" spans="1:30" x14ac:dyDescent="0.3">
      <c r="A59">
        <v>1</v>
      </c>
      <c r="B59" s="68">
        <f>SUBTOTAL(9,$A$19:A59)</f>
        <v>39</v>
      </c>
      <c r="C59" s="73" t="s">
        <v>120</v>
      </c>
      <c r="D59" s="79" t="s">
        <v>153</v>
      </c>
      <c r="E59" s="65">
        <f t="shared" si="8"/>
        <v>10898600.020000001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155">
        <v>0</v>
      </c>
      <c r="M59" s="77">
        <v>0</v>
      </c>
      <c r="N59" s="72">
        <v>606.5</v>
      </c>
      <c r="O59" s="72">
        <v>10540492.630000001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200000</v>
      </c>
      <c r="Z59" s="77">
        <f t="shared" si="9"/>
        <v>158107.39000000001</v>
      </c>
      <c r="AA59" s="77">
        <v>0</v>
      </c>
      <c r="AB59" s="70">
        <v>2026</v>
      </c>
      <c r="AC59" s="70">
        <v>2026</v>
      </c>
      <c r="AD59" s="70">
        <v>2026</v>
      </c>
    </row>
    <row r="60" spans="1:30" x14ac:dyDescent="0.3">
      <c r="A60">
        <v>1</v>
      </c>
      <c r="B60" s="68">
        <f>SUBTOTAL(9,$A$19:A60)</f>
        <v>40</v>
      </c>
      <c r="C60" s="73" t="s">
        <v>121</v>
      </c>
      <c r="D60" s="79" t="s">
        <v>153</v>
      </c>
      <c r="E60" s="65">
        <f t="shared" si="8"/>
        <v>7616706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155">
        <v>0</v>
      </c>
      <c r="M60" s="77">
        <v>0</v>
      </c>
      <c r="N60" s="72">
        <v>600</v>
      </c>
      <c r="O60" s="72">
        <v>7244102.4000000004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2">
        <v>263942.06</v>
      </c>
      <c r="Z60" s="77">
        <f t="shared" si="9"/>
        <v>108661.54</v>
      </c>
      <c r="AA60" s="77">
        <v>0</v>
      </c>
      <c r="AB60" s="70">
        <v>2026</v>
      </c>
      <c r="AC60" s="70">
        <v>2026</v>
      </c>
      <c r="AD60" s="70">
        <v>2026</v>
      </c>
    </row>
    <row r="61" spans="1:30" x14ac:dyDescent="0.3">
      <c r="A61">
        <v>1</v>
      </c>
      <c r="B61" s="68">
        <f>SUBTOTAL(9,$A$19:A61)</f>
        <v>41</v>
      </c>
      <c r="C61" s="73" t="s">
        <v>122</v>
      </c>
      <c r="D61" s="79" t="s">
        <v>153</v>
      </c>
      <c r="E61" s="65">
        <f t="shared" si="8"/>
        <v>5386458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155">
        <v>0</v>
      </c>
      <c r="M61" s="77">
        <v>0</v>
      </c>
      <c r="N61" s="72">
        <v>300</v>
      </c>
      <c r="O61" s="72">
        <v>5129442.2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0</v>
      </c>
      <c r="Y61" s="72">
        <v>180074.17</v>
      </c>
      <c r="Z61" s="77">
        <f t="shared" si="9"/>
        <v>76941.63</v>
      </c>
      <c r="AA61" s="77">
        <v>0</v>
      </c>
      <c r="AB61" s="70">
        <v>2026</v>
      </c>
      <c r="AC61" s="70">
        <v>2026</v>
      </c>
      <c r="AD61" s="70">
        <v>2026</v>
      </c>
    </row>
    <row r="62" spans="1:30" x14ac:dyDescent="0.3">
      <c r="A62">
        <v>1</v>
      </c>
      <c r="B62" s="68">
        <f>SUBTOTAL(9,$A$19:A62)</f>
        <v>42</v>
      </c>
      <c r="C62" s="73" t="s">
        <v>600</v>
      </c>
      <c r="D62" s="79" t="s">
        <v>153</v>
      </c>
      <c r="E62" s="65">
        <f t="shared" si="8"/>
        <v>4668263.6900000004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155">
        <v>0</v>
      </c>
      <c r="M62" s="77">
        <v>0</v>
      </c>
      <c r="N62" s="72">
        <v>260</v>
      </c>
      <c r="O62" s="72">
        <v>4451491.32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</v>
      </c>
      <c r="Y62" s="77">
        <v>150000</v>
      </c>
      <c r="Z62" s="77">
        <f t="shared" si="9"/>
        <v>66772.37</v>
      </c>
      <c r="AA62" s="77">
        <v>0</v>
      </c>
      <c r="AB62" s="70">
        <v>2026</v>
      </c>
      <c r="AC62" s="70">
        <v>2026</v>
      </c>
      <c r="AD62" s="70">
        <v>2026</v>
      </c>
    </row>
    <row r="63" spans="1:30" s="83" customFormat="1" x14ac:dyDescent="0.25">
      <c r="A63">
        <v>1</v>
      </c>
      <c r="B63" s="68">
        <f>SUBTOTAL(9,$A$19:A63)</f>
        <v>43</v>
      </c>
      <c r="C63" s="73" t="s">
        <v>123</v>
      </c>
      <c r="D63" s="79" t="s">
        <v>153</v>
      </c>
      <c r="E63" s="65">
        <f t="shared" si="8"/>
        <v>4563144.87</v>
      </c>
      <c r="F63" s="74">
        <v>0</v>
      </c>
      <c r="G63" s="74">
        <v>0</v>
      </c>
      <c r="H63" s="74">
        <v>0</v>
      </c>
      <c r="I63" s="74">
        <v>0</v>
      </c>
      <c r="J63" s="72">
        <f>2972051.66+1314135.75</f>
        <v>4286187.41</v>
      </c>
      <c r="K63" s="74">
        <v>0</v>
      </c>
      <c r="L63" s="105">
        <v>0</v>
      </c>
      <c r="M63" s="74">
        <v>0</v>
      </c>
      <c r="N63" s="72">
        <v>0</v>
      </c>
      <c r="O63" s="72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2">
        <v>212664.65</v>
      </c>
      <c r="Z63" s="74">
        <f>ROUND(J63*1.5%,2)</f>
        <v>64292.81</v>
      </c>
      <c r="AA63" s="74">
        <v>0</v>
      </c>
      <c r="AB63" s="70">
        <v>2026</v>
      </c>
      <c r="AC63" s="70">
        <v>2026</v>
      </c>
      <c r="AD63" s="70">
        <v>2026</v>
      </c>
    </row>
    <row r="64" spans="1:30" s="82" customFormat="1" x14ac:dyDescent="0.3">
      <c r="A64">
        <v>1</v>
      </c>
      <c r="B64" s="68">
        <f>SUBTOTAL(9,$A$19:A64)</f>
        <v>44</v>
      </c>
      <c r="C64" s="78" t="s">
        <v>604</v>
      </c>
      <c r="D64" s="79" t="s">
        <v>153</v>
      </c>
      <c r="E64" s="72">
        <f>F64+G64+H64+I64+J64+K64+M64+O64+Q64+S64+U64+V64+W64+X64+Y64+Z64+AA64</f>
        <v>6153634.2399999993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154">
        <v>0</v>
      </c>
      <c r="M64" s="76">
        <v>0</v>
      </c>
      <c r="N64" s="81">
        <v>0</v>
      </c>
      <c r="O64" s="72">
        <v>0</v>
      </c>
      <c r="P64" s="76">
        <v>0</v>
      </c>
      <c r="Q64" s="76">
        <v>0</v>
      </c>
      <c r="R64" s="71">
        <v>2058.1</v>
      </c>
      <c r="S64" s="71">
        <f>6393185.39-448718.16</f>
        <v>5944467.2299999995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2">
        <v>0</v>
      </c>
      <c r="Z64" s="72">
        <f>ROUND(S64*1.5%,2)</f>
        <v>89167.01</v>
      </c>
      <c r="AA64" s="76">
        <v>120000</v>
      </c>
      <c r="AB64" s="59" t="s">
        <v>426</v>
      </c>
      <c r="AC64" s="59">
        <v>2026</v>
      </c>
      <c r="AD64" s="59">
        <v>2026</v>
      </c>
    </row>
    <row r="65" spans="1:31" s="82" customFormat="1" x14ac:dyDescent="0.3">
      <c r="A65">
        <v>1</v>
      </c>
      <c r="B65" s="68">
        <f>SUBTOTAL(9,$A$19:A65)</f>
        <v>45</v>
      </c>
      <c r="C65" s="78" t="s">
        <v>662</v>
      </c>
      <c r="D65" s="84" t="s">
        <v>153</v>
      </c>
      <c r="E65" s="72">
        <f>F65+G65+H65+I65+J65+K65+M65+O65+Q65+S65+U65+V65+W65+X65+Y65+Z65+AA65</f>
        <v>21910638.309999999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154">
        <v>0</v>
      </c>
      <c r="M65" s="76">
        <v>0</v>
      </c>
      <c r="N65" s="72">
        <v>2055.69</v>
      </c>
      <c r="O65" s="72">
        <v>21588430.98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2">
        <v>0</v>
      </c>
      <c r="Z65" s="72">
        <f>ROUND(O65*1.4925%,2)</f>
        <v>322207.33</v>
      </c>
      <c r="AA65" s="76">
        <v>0</v>
      </c>
      <c r="AB65" s="59" t="s">
        <v>426</v>
      </c>
      <c r="AC65" s="59">
        <v>2026</v>
      </c>
      <c r="AD65" s="59">
        <v>2026</v>
      </c>
      <c r="AE65" s="85"/>
    </row>
    <row r="66" spans="1:31" s="82" customFormat="1" x14ac:dyDescent="0.3">
      <c r="A66">
        <v>1</v>
      </c>
      <c r="B66" s="68">
        <f>SUBTOTAL(9,$A$19:A66)</f>
        <v>46</v>
      </c>
      <c r="C66" s="62" t="s">
        <v>664</v>
      </c>
      <c r="D66" s="84" t="s">
        <v>153</v>
      </c>
      <c r="E66" s="72">
        <f>F66+G66+H66+I66+J66+K66+M66+O66+Q66+S66+U66+V66+W66+X66+Y66+Z66+AA66</f>
        <v>630081.39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62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72">
        <v>630081.39</v>
      </c>
      <c r="Z66" s="5">
        <v>0</v>
      </c>
      <c r="AA66" s="5">
        <v>0</v>
      </c>
      <c r="AB66" s="86">
        <v>2026</v>
      </c>
      <c r="AC66" s="86" t="s">
        <v>426</v>
      </c>
      <c r="AD66" s="86" t="s">
        <v>426</v>
      </c>
      <c r="AE66" s="85"/>
    </row>
    <row r="67" spans="1:31" s="82" customFormat="1" x14ac:dyDescent="0.3">
      <c r="A67">
        <v>1</v>
      </c>
      <c r="B67" s="68">
        <f>SUBTOTAL(9,$A$19:A67)</f>
        <v>47</v>
      </c>
      <c r="C67" s="62" t="s">
        <v>719</v>
      </c>
      <c r="D67" s="84"/>
      <c r="E67" s="72">
        <f>F67+G67+H67+I67+J67+K67+M67+O67+Q67+S67+U67+V67+W67+X67+Y67+Z67+AA67</f>
        <v>17236658.559999999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62">
        <v>0</v>
      </c>
      <c r="M67" s="5">
        <v>0</v>
      </c>
      <c r="N67" s="5">
        <v>1534</v>
      </c>
      <c r="O67" s="5">
        <v>16587840.949999999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72">
        <v>400000</v>
      </c>
      <c r="Z67" s="5">
        <f>ROUND(O67*1.5%,2)</f>
        <v>248817.61</v>
      </c>
      <c r="AA67" s="5">
        <v>0</v>
      </c>
      <c r="AB67" s="86">
        <v>2026</v>
      </c>
      <c r="AC67" s="86">
        <v>2026</v>
      </c>
      <c r="AD67" s="86">
        <v>2026</v>
      </c>
      <c r="AE67" s="85"/>
    </row>
    <row r="68" spans="1:31" x14ac:dyDescent="0.3">
      <c r="B68" s="67" t="s">
        <v>472</v>
      </c>
      <c r="C68" s="67"/>
      <c r="D68" s="87"/>
      <c r="E68" s="72">
        <f t="shared" ref="E68:AA68" si="10">SUM(E69:E77)</f>
        <v>89912910.519999996</v>
      </c>
      <c r="F68" s="72">
        <f t="shared" si="10"/>
        <v>0</v>
      </c>
      <c r="G68" s="72">
        <f t="shared" si="10"/>
        <v>0</v>
      </c>
      <c r="H68" s="72">
        <f t="shared" si="10"/>
        <v>0</v>
      </c>
      <c r="I68" s="72">
        <f t="shared" si="10"/>
        <v>0</v>
      </c>
      <c r="J68" s="72">
        <f t="shared" si="10"/>
        <v>0</v>
      </c>
      <c r="K68" s="72">
        <f t="shared" si="10"/>
        <v>0</v>
      </c>
      <c r="L68" s="156">
        <f t="shared" si="10"/>
        <v>5</v>
      </c>
      <c r="M68" s="72">
        <f t="shared" si="10"/>
        <v>19745714.75</v>
      </c>
      <c r="N68" s="72">
        <f t="shared" si="10"/>
        <v>5175.07</v>
      </c>
      <c r="O68" s="72">
        <f t="shared" si="10"/>
        <v>66372261.18</v>
      </c>
      <c r="P68" s="72">
        <f t="shared" si="10"/>
        <v>0</v>
      </c>
      <c r="Q68" s="72">
        <f t="shared" si="10"/>
        <v>0</v>
      </c>
      <c r="R68" s="72">
        <f t="shared" si="10"/>
        <v>0</v>
      </c>
      <c r="S68" s="72">
        <f t="shared" si="10"/>
        <v>0</v>
      </c>
      <c r="T68" s="72">
        <f t="shared" si="10"/>
        <v>0</v>
      </c>
      <c r="U68" s="72">
        <f t="shared" si="10"/>
        <v>0</v>
      </c>
      <c r="V68" s="72">
        <f t="shared" si="10"/>
        <v>0</v>
      </c>
      <c r="W68" s="72">
        <f t="shared" si="10"/>
        <v>0</v>
      </c>
      <c r="X68" s="72">
        <f t="shared" si="10"/>
        <v>0</v>
      </c>
      <c r="Y68" s="72">
        <f t="shared" si="10"/>
        <v>2383164.9499999997</v>
      </c>
      <c r="Z68" s="72">
        <f t="shared" si="10"/>
        <v>1291769.6400000001</v>
      </c>
      <c r="AA68" s="72">
        <f t="shared" si="10"/>
        <v>120000</v>
      </c>
      <c r="AB68" s="66" t="s">
        <v>423</v>
      </c>
      <c r="AC68" s="66" t="s">
        <v>423</v>
      </c>
      <c r="AD68" s="66" t="s">
        <v>423</v>
      </c>
    </row>
    <row r="69" spans="1:31" x14ac:dyDescent="0.3">
      <c r="A69">
        <v>1</v>
      </c>
      <c r="B69" s="68">
        <f>SUBTOTAL(9,$A$19:A69)</f>
        <v>48</v>
      </c>
      <c r="C69" s="73" t="s">
        <v>400</v>
      </c>
      <c r="D69" s="79" t="s">
        <v>473</v>
      </c>
      <c r="E69" s="65">
        <f t="shared" ref="E69:E77" si="11">F69+G69+H69+I69+J69+K69+M69+O69+Q69+S69+U69+V69+W69+X69+Z69+AA69+Y69</f>
        <v>6553523.8999999994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156">
        <v>0</v>
      </c>
      <c r="M69" s="72">
        <v>0</v>
      </c>
      <c r="N69" s="65">
        <v>365</v>
      </c>
      <c r="O69" s="72">
        <v>5939117.21</v>
      </c>
      <c r="P69" s="72">
        <v>0</v>
      </c>
      <c r="Q69" s="72">
        <v>0</v>
      </c>
      <c r="R69" s="72">
        <v>0</v>
      </c>
      <c r="S69" s="72">
        <v>0</v>
      </c>
      <c r="T69" s="77">
        <v>0</v>
      </c>
      <c r="U69" s="77">
        <v>0</v>
      </c>
      <c r="V69" s="77">
        <v>0</v>
      </c>
      <c r="W69" s="77">
        <v>0</v>
      </c>
      <c r="X69" s="77">
        <v>0</v>
      </c>
      <c r="Y69" s="72">
        <v>405319.93</v>
      </c>
      <c r="Z69" s="77">
        <f>ROUND(O69*1.5%,2)</f>
        <v>89086.76</v>
      </c>
      <c r="AA69" s="77">
        <v>120000</v>
      </c>
      <c r="AB69" s="70">
        <v>2026</v>
      </c>
      <c r="AC69" s="70">
        <v>2026</v>
      </c>
      <c r="AD69" s="70">
        <v>2026</v>
      </c>
    </row>
    <row r="70" spans="1:31" x14ac:dyDescent="0.3">
      <c r="A70">
        <v>1</v>
      </c>
      <c r="B70" s="68">
        <f>SUBTOTAL(9,$A$19:A70)</f>
        <v>49</v>
      </c>
      <c r="C70" s="73" t="s">
        <v>391</v>
      </c>
      <c r="D70" s="79" t="s">
        <v>473</v>
      </c>
      <c r="E70" s="65">
        <f t="shared" si="11"/>
        <v>10126813.050000001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156">
        <v>0</v>
      </c>
      <c r="M70" s="72">
        <v>0</v>
      </c>
      <c r="N70" s="65">
        <v>783</v>
      </c>
      <c r="O70" s="72">
        <v>9780111.3800000008</v>
      </c>
      <c r="P70" s="72">
        <v>0</v>
      </c>
      <c r="Q70" s="72">
        <v>0</v>
      </c>
      <c r="R70" s="72">
        <v>0</v>
      </c>
      <c r="S70" s="72">
        <v>0</v>
      </c>
      <c r="T70" s="77">
        <v>0</v>
      </c>
      <c r="U70" s="77">
        <v>0</v>
      </c>
      <c r="V70" s="77">
        <v>0</v>
      </c>
      <c r="W70" s="77">
        <v>0</v>
      </c>
      <c r="X70" s="77">
        <v>0</v>
      </c>
      <c r="Y70" s="77">
        <v>200000</v>
      </c>
      <c r="Z70" s="77">
        <f>ROUND(O70*1.5%,2)</f>
        <v>146701.67000000001</v>
      </c>
      <c r="AA70" s="77">
        <v>0</v>
      </c>
      <c r="AB70" s="70">
        <v>2026</v>
      </c>
      <c r="AC70" s="70">
        <v>2026</v>
      </c>
      <c r="AD70" s="70">
        <v>2026</v>
      </c>
    </row>
    <row r="71" spans="1:31" x14ac:dyDescent="0.3">
      <c r="A71">
        <v>1</v>
      </c>
      <c r="B71" s="68">
        <f>SUBTOTAL(9,$A$19:A71)</f>
        <v>50</v>
      </c>
      <c r="C71" s="73" t="s">
        <v>408</v>
      </c>
      <c r="D71" s="79" t="s">
        <v>473</v>
      </c>
      <c r="E71" s="65">
        <f t="shared" si="11"/>
        <v>8005053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156">
        <v>2</v>
      </c>
      <c r="M71" s="72">
        <v>7686754.6499999994</v>
      </c>
      <c r="N71" s="65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2">
        <v>202997.03</v>
      </c>
      <c r="Z71" s="77">
        <f>ROUND(M71*1.5%,2)</f>
        <v>115301.32</v>
      </c>
      <c r="AA71" s="77">
        <v>0</v>
      </c>
      <c r="AB71" s="70">
        <v>2026</v>
      </c>
      <c r="AC71" s="70">
        <v>2026</v>
      </c>
      <c r="AD71" s="70">
        <v>2026</v>
      </c>
    </row>
    <row r="72" spans="1:31" x14ac:dyDescent="0.3">
      <c r="A72">
        <v>1</v>
      </c>
      <c r="B72" s="68">
        <f>SUBTOTAL(9,$A$19:A72)</f>
        <v>51</v>
      </c>
      <c r="C72" s="73" t="s">
        <v>385</v>
      </c>
      <c r="D72" s="79" t="s">
        <v>473</v>
      </c>
      <c r="E72" s="65">
        <f t="shared" si="11"/>
        <v>7351009.9100000001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156">
        <v>0</v>
      </c>
      <c r="M72" s="72">
        <v>0</v>
      </c>
      <c r="N72" s="65">
        <v>579.07000000000005</v>
      </c>
      <c r="O72" s="72">
        <v>6990771.4100000001</v>
      </c>
      <c r="P72" s="72">
        <v>0</v>
      </c>
      <c r="Q72" s="72">
        <v>0</v>
      </c>
      <c r="R72" s="72">
        <v>0</v>
      </c>
      <c r="S72" s="72">
        <v>0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2">
        <v>255376.93</v>
      </c>
      <c r="Z72" s="77">
        <f>ROUND(O72*1.5%,2)</f>
        <v>104861.57</v>
      </c>
      <c r="AA72" s="77">
        <v>0</v>
      </c>
      <c r="AB72" s="70">
        <v>2026</v>
      </c>
      <c r="AC72" s="70">
        <v>2026</v>
      </c>
      <c r="AD72" s="70">
        <v>2026</v>
      </c>
    </row>
    <row r="73" spans="1:31" x14ac:dyDescent="0.3">
      <c r="A73">
        <v>1</v>
      </c>
      <c r="B73" s="68">
        <f>SUBTOTAL(9,$A$19:A73)</f>
        <v>52</v>
      </c>
      <c r="C73" s="73" t="s">
        <v>405</v>
      </c>
      <c r="D73" s="79" t="s">
        <v>473</v>
      </c>
      <c r="E73" s="65">
        <f t="shared" si="11"/>
        <v>12489844.5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156">
        <v>3</v>
      </c>
      <c r="M73" s="72">
        <v>12058960.1</v>
      </c>
      <c r="N73" s="65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7">
        <v>0</v>
      </c>
      <c r="U73" s="77">
        <v>0</v>
      </c>
      <c r="V73" s="77">
        <v>0</v>
      </c>
      <c r="W73" s="77">
        <v>0</v>
      </c>
      <c r="X73" s="77">
        <v>0</v>
      </c>
      <c r="Y73" s="77">
        <v>250000</v>
      </c>
      <c r="Z73" s="77">
        <f>ROUND(M73*1.5%,2)</f>
        <v>180884.4</v>
      </c>
      <c r="AA73" s="77">
        <v>0</v>
      </c>
      <c r="AB73" s="70">
        <v>2026</v>
      </c>
      <c r="AC73" s="70">
        <v>2026</v>
      </c>
      <c r="AD73" s="70">
        <v>2026</v>
      </c>
    </row>
    <row r="74" spans="1:31" x14ac:dyDescent="0.3">
      <c r="A74">
        <v>1</v>
      </c>
      <c r="B74" s="68">
        <f>SUBTOTAL(9,$A$19:A74)</f>
        <v>53</v>
      </c>
      <c r="C74" s="73" t="s">
        <v>407</v>
      </c>
      <c r="D74" s="79" t="s">
        <v>473</v>
      </c>
      <c r="E74" s="65">
        <f t="shared" si="11"/>
        <v>19397211.279999997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156">
        <v>0</v>
      </c>
      <c r="M74" s="72">
        <v>0</v>
      </c>
      <c r="N74" s="65">
        <v>1528</v>
      </c>
      <c r="O74" s="72">
        <v>18705520.809999999</v>
      </c>
      <c r="P74" s="72">
        <v>0</v>
      </c>
      <c r="Q74" s="72">
        <v>0</v>
      </c>
      <c r="R74" s="72">
        <v>0</v>
      </c>
      <c r="S74" s="72">
        <v>0</v>
      </c>
      <c r="T74" s="77">
        <v>0</v>
      </c>
      <c r="U74" s="77">
        <v>0</v>
      </c>
      <c r="V74" s="77">
        <v>0</v>
      </c>
      <c r="W74" s="77">
        <v>0</v>
      </c>
      <c r="X74" s="77">
        <v>0</v>
      </c>
      <c r="Y74" s="72">
        <v>411107.66</v>
      </c>
      <c r="Z74" s="77">
        <f>ROUND(O74*1.5%,2)</f>
        <v>280582.81</v>
      </c>
      <c r="AA74" s="77">
        <v>0</v>
      </c>
      <c r="AB74" s="70">
        <v>2026</v>
      </c>
      <c r="AC74" s="70">
        <v>2026</v>
      </c>
      <c r="AD74" s="70">
        <v>2026</v>
      </c>
    </row>
    <row r="75" spans="1:31" x14ac:dyDescent="0.3">
      <c r="A75">
        <v>1</v>
      </c>
      <c r="B75" s="68">
        <f>SUBTOTAL(9,$A$19:A75)</f>
        <v>54</v>
      </c>
      <c r="C75" s="73" t="s">
        <v>397</v>
      </c>
      <c r="D75" s="79" t="s">
        <v>473</v>
      </c>
      <c r="E75" s="65">
        <f t="shared" si="11"/>
        <v>11171168.800000001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156">
        <v>0</v>
      </c>
      <c r="M75" s="72">
        <v>0</v>
      </c>
      <c r="N75" s="65">
        <v>880</v>
      </c>
      <c r="O75" s="72">
        <v>10751532.41</v>
      </c>
      <c r="P75" s="72">
        <v>0</v>
      </c>
      <c r="Q75" s="72">
        <v>0</v>
      </c>
      <c r="R75" s="72">
        <v>0</v>
      </c>
      <c r="S75" s="72">
        <v>0</v>
      </c>
      <c r="T75" s="77">
        <v>0</v>
      </c>
      <c r="U75" s="77">
        <v>0</v>
      </c>
      <c r="V75" s="77">
        <v>0</v>
      </c>
      <c r="W75" s="77">
        <v>0</v>
      </c>
      <c r="X75" s="77">
        <v>0</v>
      </c>
      <c r="Y75" s="72">
        <v>258363.4</v>
      </c>
      <c r="Z75" s="77">
        <f>ROUND(O75*1.5%,2)</f>
        <v>161272.99</v>
      </c>
      <c r="AA75" s="77">
        <v>0</v>
      </c>
      <c r="AB75" s="70">
        <v>2026</v>
      </c>
      <c r="AC75" s="70">
        <v>2026</v>
      </c>
      <c r="AD75" s="70">
        <v>2026</v>
      </c>
    </row>
    <row r="76" spans="1:31" x14ac:dyDescent="0.3">
      <c r="A76">
        <v>1</v>
      </c>
      <c r="B76" s="68">
        <f>SUBTOTAL(9,$A$19:A76)</f>
        <v>55</v>
      </c>
      <c r="C76" s="73" t="s">
        <v>392</v>
      </c>
      <c r="D76" s="79" t="s">
        <v>473</v>
      </c>
      <c r="E76" s="65">
        <f t="shared" si="11"/>
        <v>7709360.4799999995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156">
        <v>0</v>
      </c>
      <c r="M76" s="72">
        <v>0</v>
      </c>
      <c r="N76" s="65">
        <v>480</v>
      </c>
      <c r="O76" s="72">
        <f>5806270.74+1592113.97</f>
        <v>7398384.71</v>
      </c>
      <c r="P76" s="72">
        <v>0</v>
      </c>
      <c r="Q76" s="72">
        <v>0</v>
      </c>
      <c r="R76" s="72">
        <v>0</v>
      </c>
      <c r="S76" s="72">
        <v>0</v>
      </c>
      <c r="T76" s="77">
        <v>0</v>
      </c>
      <c r="U76" s="77">
        <v>0</v>
      </c>
      <c r="V76" s="77">
        <v>0</v>
      </c>
      <c r="W76" s="77">
        <v>0</v>
      </c>
      <c r="X76" s="77">
        <v>0</v>
      </c>
      <c r="Y76" s="77">
        <v>200000</v>
      </c>
      <c r="Z76" s="77">
        <f>ROUND(O76*1.5%,2)</f>
        <v>110975.77</v>
      </c>
      <c r="AA76" s="77">
        <v>0</v>
      </c>
      <c r="AB76" s="70">
        <v>2026</v>
      </c>
      <c r="AC76" s="70">
        <v>2026</v>
      </c>
      <c r="AD76" s="70">
        <v>2026</v>
      </c>
    </row>
    <row r="77" spans="1:31" x14ac:dyDescent="0.3">
      <c r="A77">
        <v>1</v>
      </c>
      <c r="B77" s="68">
        <f>SUBTOTAL(9,$A$19:A77)</f>
        <v>56</v>
      </c>
      <c r="C77" s="73" t="s">
        <v>409</v>
      </c>
      <c r="D77" s="79" t="s">
        <v>473</v>
      </c>
      <c r="E77" s="65">
        <f t="shared" si="11"/>
        <v>7108925.5999999996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156">
        <v>0</v>
      </c>
      <c r="M77" s="72">
        <v>0</v>
      </c>
      <c r="N77" s="65">
        <v>560</v>
      </c>
      <c r="O77" s="72">
        <v>6806823.25</v>
      </c>
      <c r="P77" s="72">
        <v>0</v>
      </c>
      <c r="Q77" s="72">
        <v>0</v>
      </c>
      <c r="R77" s="72">
        <v>0</v>
      </c>
      <c r="S77" s="72">
        <v>0</v>
      </c>
      <c r="T77" s="77">
        <v>0</v>
      </c>
      <c r="U77" s="77">
        <v>0</v>
      </c>
      <c r="V77" s="77">
        <v>0</v>
      </c>
      <c r="W77" s="77">
        <v>0</v>
      </c>
      <c r="X77" s="77">
        <v>0</v>
      </c>
      <c r="Y77" s="77">
        <v>200000</v>
      </c>
      <c r="Z77" s="77">
        <f>ROUND(O77*1.5%,2)</f>
        <v>102102.35</v>
      </c>
      <c r="AA77" s="77">
        <v>0</v>
      </c>
      <c r="AB77" s="70">
        <v>2026</v>
      </c>
      <c r="AC77" s="70">
        <v>2026</v>
      </c>
      <c r="AD77" s="70">
        <v>2026</v>
      </c>
    </row>
    <row r="78" spans="1:31" x14ac:dyDescent="0.3">
      <c r="B78" s="67" t="s">
        <v>416</v>
      </c>
      <c r="C78" s="63"/>
      <c r="D78" s="64"/>
      <c r="E78" s="65">
        <f t="shared" ref="E78:AA78" si="12">E79</f>
        <v>15284190.040000001</v>
      </c>
      <c r="F78" s="65">
        <f t="shared" si="12"/>
        <v>0</v>
      </c>
      <c r="G78" s="65">
        <f t="shared" si="12"/>
        <v>0</v>
      </c>
      <c r="H78" s="65">
        <f t="shared" si="12"/>
        <v>0</v>
      </c>
      <c r="I78" s="65">
        <f t="shared" si="12"/>
        <v>0</v>
      </c>
      <c r="J78" s="65">
        <f t="shared" si="12"/>
        <v>0</v>
      </c>
      <c r="K78" s="65">
        <f t="shared" si="12"/>
        <v>0</v>
      </c>
      <c r="L78" s="152">
        <f t="shared" si="12"/>
        <v>0</v>
      </c>
      <c r="M78" s="65">
        <f t="shared" si="12"/>
        <v>0</v>
      </c>
      <c r="N78" s="65">
        <f t="shared" si="12"/>
        <v>1204</v>
      </c>
      <c r="O78" s="65">
        <f t="shared" si="12"/>
        <v>14686620.58</v>
      </c>
      <c r="P78" s="65">
        <f t="shared" si="12"/>
        <v>0</v>
      </c>
      <c r="Q78" s="65">
        <f t="shared" si="12"/>
        <v>0</v>
      </c>
      <c r="R78" s="65">
        <f t="shared" si="12"/>
        <v>0</v>
      </c>
      <c r="S78" s="65">
        <f t="shared" si="12"/>
        <v>0</v>
      </c>
      <c r="T78" s="65">
        <f t="shared" si="12"/>
        <v>0</v>
      </c>
      <c r="U78" s="65">
        <f t="shared" si="12"/>
        <v>0</v>
      </c>
      <c r="V78" s="65">
        <f t="shared" si="12"/>
        <v>0</v>
      </c>
      <c r="W78" s="65">
        <f t="shared" si="12"/>
        <v>0</v>
      </c>
      <c r="X78" s="65">
        <f t="shared" si="12"/>
        <v>0</v>
      </c>
      <c r="Y78" s="65">
        <f t="shared" si="12"/>
        <v>377270.15</v>
      </c>
      <c r="Z78" s="65">
        <f t="shared" si="12"/>
        <v>220299.31</v>
      </c>
      <c r="AA78" s="65">
        <f t="shared" si="12"/>
        <v>0</v>
      </c>
      <c r="AB78" s="66" t="s">
        <v>423</v>
      </c>
      <c r="AC78" s="66" t="s">
        <v>423</v>
      </c>
      <c r="AD78" s="66" t="s">
        <v>423</v>
      </c>
    </row>
    <row r="79" spans="1:31" x14ac:dyDescent="0.3">
      <c r="A79">
        <v>1</v>
      </c>
      <c r="B79" s="68">
        <f>SUBTOTAL(9,$A$19:A79)</f>
        <v>57</v>
      </c>
      <c r="C79" s="73" t="s">
        <v>154</v>
      </c>
      <c r="D79" s="79" t="s">
        <v>609</v>
      </c>
      <c r="E79" s="65">
        <f>F79+G79+H79+I79+J79+K79+M79+O79+Q79+S79+U79+V79+W79+X79+Y79+Z79+AA79</f>
        <v>15284190.040000001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155">
        <v>0</v>
      </c>
      <c r="M79" s="77">
        <v>0</v>
      </c>
      <c r="N79" s="77">
        <v>1204</v>
      </c>
      <c r="O79" s="77">
        <v>14686620.58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  <c r="W79" s="77">
        <v>0</v>
      </c>
      <c r="X79" s="77">
        <v>0</v>
      </c>
      <c r="Y79" s="72">
        <v>377270.15</v>
      </c>
      <c r="Z79" s="77">
        <f>ROUND(O79*1.5%,2)</f>
        <v>220299.31</v>
      </c>
      <c r="AA79" s="77">
        <v>0</v>
      </c>
      <c r="AB79" s="70">
        <v>2026</v>
      </c>
      <c r="AC79" s="70">
        <v>2026</v>
      </c>
      <c r="AD79" s="70">
        <v>2026</v>
      </c>
    </row>
    <row r="80" spans="1:31" x14ac:dyDescent="0.3">
      <c r="B80" s="67" t="s">
        <v>678</v>
      </c>
      <c r="C80" s="63"/>
      <c r="D80" s="64"/>
      <c r="E80" s="65">
        <f>SUM(E81:E94)</f>
        <v>179194506.43000004</v>
      </c>
      <c r="F80" s="65">
        <f t="shared" ref="F80:AA80" si="13">SUM(F81:F94)</f>
        <v>0</v>
      </c>
      <c r="G80" s="65">
        <f t="shared" si="13"/>
        <v>0</v>
      </c>
      <c r="H80" s="65">
        <f t="shared" si="13"/>
        <v>0</v>
      </c>
      <c r="I80" s="65">
        <f t="shared" si="13"/>
        <v>0</v>
      </c>
      <c r="J80" s="65">
        <f t="shared" si="13"/>
        <v>0</v>
      </c>
      <c r="K80" s="65">
        <f t="shared" si="13"/>
        <v>0</v>
      </c>
      <c r="L80" s="152">
        <f t="shared" si="13"/>
        <v>0</v>
      </c>
      <c r="M80" s="65">
        <f t="shared" si="13"/>
        <v>0</v>
      </c>
      <c r="N80" s="65">
        <f t="shared" si="13"/>
        <v>13647.82</v>
      </c>
      <c r="O80" s="65">
        <f t="shared" si="13"/>
        <v>172899255.28999999</v>
      </c>
      <c r="P80" s="65">
        <f t="shared" si="13"/>
        <v>0</v>
      </c>
      <c r="Q80" s="65">
        <f t="shared" si="13"/>
        <v>0</v>
      </c>
      <c r="R80" s="65">
        <f t="shared" si="13"/>
        <v>0</v>
      </c>
      <c r="S80" s="65">
        <f t="shared" si="13"/>
        <v>0</v>
      </c>
      <c r="T80" s="65">
        <f t="shared" si="13"/>
        <v>0</v>
      </c>
      <c r="U80" s="65">
        <f t="shared" si="13"/>
        <v>0</v>
      </c>
      <c r="V80" s="65">
        <f t="shared" si="13"/>
        <v>0</v>
      </c>
      <c r="W80" s="65">
        <f t="shared" si="13"/>
        <v>0</v>
      </c>
      <c r="X80" s="65">
        <f t="shared" si="13"/>
        <v>0</v>
      </c>
      <c r="Y80" s="65">
        <f t="shared" si="13"/>
        <v>3703204.28</v>
      </c>
      <c r="Z80" s="65">
        <f t="shared" si="13"/>
        <v>2592046.86</v>
      </c>
      <c r="AA80" s="65">
        <f t="shared" si="13"/>
        <v>0</v>
      </c>
      <c r="AB80" s="66" t="s">
        <v>423</v>
      </c>
      <c r="AC80" s="66" t="s">
        <v>423</v>
      </c>
      <c r="AD80" s="66" t="s">
        <v>423</v>
      </c>
    </row>
    <row r="81" spans="1:30" x14ac:dyDescent="0.3">
      <c r="A81">
        <v>1</v>
      </c>
      <c r="B81" s="68">
        <f>SUBTOTAL(9,$A$19:A81)</f>
        <v>58</v>
      </c>
      <c r="C81" s="73" t="s">
        <v>323</v>
      </c>
      <c r="D81" s="79" t="s">
        <v>610</v>
      </c>
      <c r="E81" s="65">
        <f t="shared" ref="E81:E89" si="14">F81+G81+H81+I81+J81+K81+M81+O81+Q81+S81+U81+V81+W81+X81+Z81+AA81+Y81</f>
        <v>10346680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154">
        <v>0</v>
      </c>
      <c r="M81" s="77">
        <v>0</v>
      </c>
      <c r="N81" s="77">
        <v>800</v>
      </c>
      <c r="O81" s="77">
        <v>9811079.1900000013</v>
      </c>
      <c r="P81" s="77">
        <v>0</v>
      </c>
      <c r="Q81" s="77">
        <v>0</v>
      </c>
      <c r="R81" s="77">
        <v>0</v>
      </c>
      <c r="S81" s="77">
        <v>0</v>
      </c>
      <c r="T81" s="77">
        <v>0</v>
      </c>
      <c r="U81" s="77">
        <v>0</v>
      </c>
      <c r="V81" s="77">
        <v>0</v>
      </c>
      <c r="W81" s="77">
        <v>0</v>
      </c>
      <c r="X81" s="77">
        <v>0</v>
      </c>
      <c r="Y81" s="72">
        <v>388434.62</v>
      </c>
      <c r="Z81" s="77">
        <f t="shared" ref="Z81:Z86" si="15">ROUND(O81*1.5%,2)</f>
        <v>147166.19</v>
      </c>
      <c r="AA81" s="77">
        <v>0</v>
      </c>
      <c r="AB81" s="70">
        <v>2026</v>
      </c>
      <c r="AC81" s="70">
        <v>2026</v>
      </c>
      <c r="AD81" s="70">
        <v>2026</v>
      </c>
    </row>
    <row r="82" spans="1:30" x14ac:dyDescent="0.3">
      <c r="A82">
        <v>1</v>
      </c>
      <c r="B82" s="68">
        <f>SUBTOTAL(9,$A$19:A82)</f>
        <v>59</v>
      </c>
      <c r="C82" s="73" t="s">
        <v>348</v>
      </c>
      <c r="D82" s="79" t="s">
        <v>610</v>
      </c>
      <c r="E82" s="65">
        <f t="shared" si="14"/>
        <v>14545369.560000001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154">
        <v>0</v>
      </c>
      <c r="M82" s="77">
        <v>0</v>
      </c>
      <c r="N82" s="77">
        <v>1145.8</v>
      </c>
      <c r="O82" s="77">
        <v>13920604.27</v>
      </c>
      <c r="P82" s="77">
        <v>0</v>
      </c>
      <c r="Q82" s="77">
        <v>0</v>
      </c>
      <c r="R82" s="77">
        <v>0</v>
      </c>
      <c r="S82" s="77">
        <v>0</v>
      </c>
      <c r="T82" s="77">
        <v>0</v>
      </c>
      <c r="U82" s="77">
        <v>0</v>
      </c>
      <c r="V82" s="77">
        <v>0</v>
      </c>
      <c r="W82" s="77">
        <v>0</v>
      </c>
      <c r="X82" s="77">
        <v>0</v>
      </c>
      <c r="Y82" s="72">
        <v>415956.23</v>
      </c>
      <c r="Z82" s="77">
        <f t="shared" si="15"/>
        <v>208809.06</v>
      </c>
      <c r="AA82" s="77">
        <v>0</v>
      </c>
      <c r="AB82" s="70">
        <v>2026</v>
      </c>
      <c r="AC82" s="70">
        <v>2026</v>
      </c>
      <c r="AD82" s="70">
        <v>2026</v>
      </c>
    </row>
    <row r="83" spans="1:30" x14ac:dyDescent="0.3">
      <c r="A83">
        <v>1</v>
      </c>
      <c r="B83" s="68">
        <f>SUBTOTAL(9,$A$19:A83)</f>
        <v>60</v>
      </c>
      <c r="C83" s="73" t="s">
        <v>347</v>
      </c>
      <c r="D83" s="79" t="s">
        <v>610</v>
      </c>
      <c r="E83" s="65">
        <f t="shared" si="14"/>
        <v>15753886.91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154">
        <v>0</v>
      </c>
      <c r="M83" s="77">
        <v>0</v>
      </c>
      <c r="N83" s="77">
        <v>1241</v>
      </c>
      <c r="O83" s="77">
        <v>15194043.140000001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  <c r="W83" s="77">
        <v>0</v>
      </c>
      <c r="X83" s="77">
        <v>0</v>
      </c>
      <c r="Y83" s="72">
        <v>331933.12</v>
      </c>
      <c r="Z83" s="77">
        <f t="shared" si="15"/>
        <v>227910.65</v>
      </c>
      <c r="AA83" s="77">
        <v>0</v>
      </c>
      <c r="AB83" s="70">
        <v>2026</v>
      </c>
      <c r="AC83" s="70">
        <v>2026</v>
      </c>
      <c r="AD83" s="70">
        <v>2026</v>
      </c>
    </row>
    <row r="84" spans="1:30" x14ac:dyDescent="0.3">
      <c r="A84">
        <v>1</v>
      </c>
      <c r="B84" s="68">
        <f>SUBTOTAL(9,$A$19:A84)</f>
        <v>61</v>
      </c>
      <c r="C84" s="73" t="s">
        <v>325</v>
      </c>
      <c r="D84" s="79" t="s">
        <v>610</v>
      </c>
      <c r="E84" s="65">
        <f t="shared" si="14"/>
        <v>10864014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154">
        <v>0</v>
      </c>
      <c r="M84" s="77">
        <v>0</v>
      </c>
      <c r="N84" s="77">
        <v>840</v>
      </c>
      <c r="O84" s="77">
        <v>10406963.34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  <c r="W84" s="77">
        <v>0</v>
      </c>
      <c r="X84" s="77">
        <v>0</v>
      </c>
      <c r="Y84" s="72">
        <v>300946.21000000002</v>
      </c>
      <c r="Z84" s="77">
        <f t="shared" si="15"/>
        <v>156104.45000000001</v>
      </c>
      <c r="AA84" s="77">
        <v>0</v>
      </c>
      <c r="AB84" s="70">
        <v>2026</v>
      </c>
      <c r="AC84" s="70">
        <v>2026</v>
      </c>
      <c r="AD84" s="70">
        <v>2026</v>
      </c>
    </row>
    <row r="85" spans="1:30" x14ac:dyDescent="0.3">
      <c r="A85">
        <v>1</v>
      </c>
      <c r="B85" s="68">
        <f>SUBTOTAL(9,$A$19:A85)</f>
        <v>62</v>
      </c>
      <c r="C85" s="73" t="s">
        <v>343</v>
      </c>
      <c r="D85" s="79" t="s">
        <v>610</v>
      </c>
      <c r="E85" s="65">
        <f t="shared" si="14"/>
        <v>15905327.5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154">
        <v>0</v>
      </c>
      <c r="M85" s="77">
        <v>0</v>
      </c>
      <c r="N85" s="77">
        <v>1100</v>
      </c>
      <c r="O85" s="77">
        <f>13720871.92+1653834.98</f>
        <v>15374706.9</v>
      </c>
      <c r="P85" s="77">
        <v>0</v>
      </c>
      <c r="Q85" s="77">
        <v>0</v>
      </c>
      <c r="R85" s="77">
        <v>0</v>
      </c>
      <c r="S85" s="77">
        <v>0</v>
      </c>
      <c r="T85" s="77">
        <v>0</v>
      </c>
      <c r="U85" s="77">
        <v>0</v>
      </c>
      <c r="V85" s="77">
        <v>0</v>
      </c>
      <c r="W85" s="77">
        <v>0</v>
      </c>
      <c r="X85" s="77">
        <v>0</v>
      </c>
      <c r="Y85" s="77">
        <v>300000</v>
      </c>
      <c r="Z85" s="77">
        <f t="shared" si="15"/>
        <v>230620.6</v>
      </c>
      <c r="AA85" s="77">
        <v>0</v>
      </c>
      <c r="AB85" s="70">
        <v>2026</v>
      </c>
      <c r="AC85" s="70">
        <v>2026</v>
      </c>
      <c r="AD85" s="70">
        <v>2026</v>
      </c>
    </row>
    <row r="86" spans="1:30" x14ac:dyDescent="0.3">
      <c r="A86">
        <v>1</v>
      </c>
      <c r="B86" s="68">
        <f>SUBTOTAL(9,$A$19:A86)</f>
        <v>63</v>
      </c>
      <c r="C86" s="73" t="s">
        <v>341</v>
      </c>
      <c r="D86" s="79" t="s">
        <v>610</v>
      </c>
      <c r="E86" s="65">
        <f t="shared" si="14"/>
        <v>26223660.460000001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0</v>
      </c>
      <c r="L86" s="154">
        <v>0</v>
      </c>
      <c r="M86" s="77">
        <v>0</v>
      </c>
      <c r="N86" s="77">
        <v>2027.6</v>
      </c>
      <c r="O86" s="77">
        <v>25540552.18</v>
      </c>
      <c r="P86" s="77">
        <v>0</v>
      </c>
      <c r="Q86" s="77">
        <v>0</v>
      </c>
      <c r="R86" s="77">
        <v>0</v>
      </c>
      <c r="S86" s="77">
        <v>0</v>
      </c>
      <c r="T86" s="77">
        <v>0</v>
      </c>
      <c r="U86" s="77">
        <v>0</v>
      </c>
      <c r="V86" s="77">
        <v>0</v>
      </c>
      <c r="W86" s="77">
        <v>0</v>
      </c>
      <c r="X86" s="77">
        <v>0</v>
      </c>
      <c r="Y86" s="77">
        <v>300000</v>
      </c>
      <c r="Z86" s="77">
        <f t="shared" si="15"/>
        <v>383108.28</v>
      </c>
      <c r="AA86" s="77">
        <v>0</v>
      </c>
      <c r="AB86" s="70">
        <v>2026</v>
      </c>
      <c r="AC86" s="70">
        <v>2026</v>
      </c>
      <c r="AD86" s="70">
        <v>2026</v>
      </c>
    </row>
    <row r="87" spans="1:30" x14ac:dyDescent="0.3">
      <c r="A87">
        <v>1</v>
      </c>
      <c r="B87" s="68">
        <f>SUBTOTAL(9,$A$19:A87)</f>
        <v>64</v>
      </c>
      <c r="C87" s="73" t="s">
        <v>594</v>
      </c>
      <c r="D87" s="79" t="s">
        <v>610</v>
      </c>
      <c r="E87" s="65">
        <f t="shared" si="14"/>
        <v>7832191.2000000002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154">
        <v>0</v>
      </c>
      <c r="M87" s="77">
        <v>0</v>
      </c>
      <c r="N87" s="71">
        <v>609.4</v>
      </c>
      <c r="O87" s="72">
        <f>6710447.61+1006567.14</f>
        <v>7717014.75</v>
      </c>
      <c r="P87" s="77">
        <v>0</v>
      </c>
      <c r="Q87" s="77">
        <v>0</v>
      </c>
      <c r="R87" s="77">
        <v>0</v>
      </c>
      <c r="S87" s="77">
        <v>0</v>
      </c>
      <c r="T87" s="77">
        <v>0</v>
      </c>
      <c r="U87" s="77">
        <v>0</v>
      </c>
      <c r="V87" s="77">
        <v>0</v>
      </c>
      <c r="W87" s="77">
        <v>0</v>
      </c>
      <c r="X87" s="77">
        <v>0</v>
      </c>
      <c r="Y87" s="77">
        <v>0</v>
      </c>
      <c r="Z87" s="72">
        <f>ROUND(O87*1.4925%,2)</f>
        <v>115176.45</v>
      </c>
      <c r="AA87" s="77">
        <v>0</v>
      </c>
      <c r="AB87" s="70" t="s">
        <v>426</v>
      </c>
      <c r="AC87" s="70">
        <v>2026</v>
      </c>
      <c r="AD87" s="70">
        <v>2026</v>
      </c>
    </row>
    <row r="88" spans="1:30" x14ac:dyDescent="0.3">
      <c r="A88">
        <v>1</v>
      </c>
      <c r="B88" s="68">
        <f>SUBTOTAL(9,$A$19:A88)</f>
        <v>65</v>
      </c>
      <c r="C88" s="73" t="s">
        <v>349</v>
      </c>
      <c r="D88" s="79" t="s">
        <v>610</v>
      </c>
      <c r="E88" s="65">
        <f t="shared" si="14"/>
        <v>18432428.520000003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154">
        <v>0</v>
      </c>
      <c r="M88" s="77">
        <v>0</v>
      </c>
      <c r="N88" s="77">
        <v>1452</v>
      </c>
      <c r="O88" s="77">
        <v>17713731.780000001</v>
      </c>
      <c r="P88" s="77">
        <v>0</v>
      </c>
      <c r="Q88" s="77">
        <v>0</v>
      </c>
      <c r="R88" s="77">
        <v>0</v>
      </c>
      <c r="S88" s="77">
        <v>0</v>
      </c>
      <c r="T88" s="77">
        <v>0</v>
      </c>
      <c r="U88" s="77">
        <v>0</v>
      </c>
      <c r="V88" s="77">
        <v>0</v>
      </c>
      <c r="W88" s="77">
        <v>0</v>
      </c>
      <c r="X88" s="77">
        <v>0</v>
      </c>
      <c r="Y88" s="72">
        <v>452990.76</v>
      </c>
      <c r="Z88" s="77">
        <f>ROUND(O88*1.5%,2)</f>
        <v>265705.98</v>
      </c>
      <c r="AA88" s="77">
        <v>0</v>
      </c>
      <c r="AB88" s="70">
        <v>2026</v>
      </c>
      <c r="AC88" s="70">
        <v>2026</v>
      </c>
      <c r="AD88" s="70">
        <v>2026</v>
      </c>
    </row>
    <row r="89" spans="1:30" x14ac:dyDescent="0.3">
      <c r="A89">
        <v>1</v>
      </c>
      <c r="B89" s="68">
        <f>SUBTOTAL(9,$A$19:A89)</f>
        <v>66</v>
      </c>
      <c r="C89" s="73" t="s">
        <v>354</v>
      </c>
      <c r="D89" s="79" t="s">
        <v>610</v>
      </c>
      <c r="E89" s="65">
        <f t="shared" si="14"/>
        <v>8873462.4900000002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0</v>
      </c>
      <c r="L89" s="154">
        <v>0</v>
      </c>
      <c r="M89" s="77">
        <v>0</v>
      </c>
      <c r="N89" s="77">
        <v>699</v>
      </c>
      <c r="O89" s="77">
        <v>8496022.1600000001</v>
      </c>
      <c r="P89" s="77">
        <v>0</v>
      </c>
      <c r="Q89" s="77">
        <v>0</v>
      </c>
      <c r="R89" s="77">
        <v>0</v>
      </c>
      <c r="S89" s="77">
        <v>0</v>
      </c>
      <c r="T89" s="77">
        <v>0</v>
      </c>
      <c r="U89" s="77">
        <v>0</v>
      </c>
      <c r="V89" s="77">
        <v>0</v>
      </c>
      <c r="W89" s="77">
        <v>0</v>
      </c>
      <c r="X89" s="77">
        <v>0</v>
      </c>
      <c r="Y89" s="77">
        <v>250000</v>
      </c>
      <c r="Z89" s="77">
        <f>ROUND(O89*1.5%,2)</f>
        <v>127440.33</v>
      </c>
      <c r="AA89" s="77">
        <v>0</v>
      </c>
      <c r="AB89" s="70">
        <v>2026</v>
      </c>
      <c r="AC89" s="70">
        <v>2026</v>
      </c>
      <c r="AD89" s="70">
        <v>2026</v>
      </c>
    </row>
    <row r="90" spans="1:30" s="82" customFormat="1" x14ac:dyDescent="0.3">
      <c r="A90">
        <v>1</v>
      </c>
      <c r="B90" s="68">
        <f>SUBTOTAL(9,$A$19:A90)</f>
        <v>67</v>
      </c>
      <c r="C90" s="78" t="s">
        <v>605</v>
      </c>
      <c r="D90" s="88" t="s">
        <v>610</v>
      </c>
      <c r="E90" s="72">
        <f>F90+G90+H90+I90+J90+K90+M90+O90+Q90+S90+U90+V90+W90+X90+Y90+Z90+AA90</f>
        <v>11681001.229999999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154">
        <v>0</v>
      </c>
      <c r="M90" s="76">
        <v>0</v>
      </c>
      <c r="N90" s="72">
        <v>694.36</v>
      </c>
      <c r="O90" s="72">
        <f>11232509.49+276716.54</f>
        <v>11509226.029999999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2">
        <v>0</v>
      </c>
      <c r="Z90" s="72">
        <f>ROUND(O90*1.4925%,2)</f>
        <v>171775.2</v>
      </c>
      <c r="AA90" s="76">
        <v>0</v>
      </c>
      <c r="AB90" s="59" t="s">
        <v>426</v>
      </c>
      <c r="AC90" s="59">
        <v>2026</v>
      </c>
      <c r="AD90" s="59">
        <v>2026</v>
      </c>
    </row>
    <row r="91" spans="1:30" x14ac:dyDescent="0.3">
      <c r="A91">
        <v>1</v>
      </c>
      <c r="B91" s="68">
        <f>SUBTOTAL(9,$A$19:A91)</f>
        <v>68</v>
      </c>
      <c r="C91" s="73" t="s">
        <v>363</v>
      </c>
      <c r="D91" s="79" t="s">
        <v>610</v>
      </c>
      <c r="E91" s="65">
        <f>F91+G91+H91+I91+J91+K91+M91+O91+Q91+S91+U91+V91+W91+X91+Z91+AA91+Y91</f>
        <v>10424280.1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154">
        <v>0</v>
      </c>
      <c r="M91" s="77">
        <v>0</v>
      </c>
      <c r="N91" s="77">
        <v>806</v>
      </c>
      <c r="O91" s="77">
        <v>10023921.279999999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  <c r="W91" s="77">
        <v>0</v>
      </c>
      <c r="X91" s="77">
        <v>0</v>
      </c>
      <c r="Y91" s="77">
        <v>250000</v>
      </c>
      <c r="Z91" s="77">
        <f>ROUND(O91*1.5%,2)</f>
        <v>150358.82</v>
      </c>
      <c r="AA91" s="77">
        <v>0</v>
      </c>
      <c r="AB91" s="70">
        <v>2026</v>
      </c>
      <c r="AC91" s="70">
        <v>2026</v>
      </c>
      <c r="AD91" s="70">
        <v>2026</v>
      </c>
    </row>
    <row r="92" spans="1:30" x14ac:dyDescent="0.3">
      <c r="A92">
        <v>1</v>
      </c>
      <c r="B92" s="68">
        <f>SUBTOTAL(9,$A$19:A92)</f>
        <v>69</v>
      </c>
      <c r="C92" s="73" t="s">
        <v>365</v>
      </c>
      <c r="D92" s="79" t="s">
        <v>610</v>
      </c>
      <c r="E92" s="65">
        <f>F92+G92+H92+I92+J92+K92+M92+O92+Q92+S92+U92+V92+W92+X92+Z92+AA92+Y92</f>
        <v>10260484.299999999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154">
        <v>0</v>
      </c>
      <c r="M92" s="77">
        <v>0</v>
      </c>
      <c r="N92" s="77">
        <v>571.46</v>
      </c>
      <c r="O92" s="77">
        <v>9899055.129999999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2">
        <v>212943.34</v>
      </c>
      <c r="Z92" s="77">
        <f>ROUND(O92*1.5%,2)</f>
        <v>148485.82999999999</v>
      </c>
      <c r="AA92" s="77">
        <v>0</v>
      </c>
      <c r="AB92" s="70">
        <v>2026</v>
      </c>
      <c r="AC92" s="70">
        <v>2026</v>
      </c>
      <c r="AD92" s="70">
        <v>2026</v>
      </c>
    </row>
    <row r="93" spans="1:30" x14ac:dyDescent="0.3">
      <c r="A93">
        <v>1</v>
      </c>
      <c r="B93" s="68">
        <f>SUBTOTAL(9,$A$19:A93)</f>
        <v>70</v>
      </c>
      <c r="C93" s="73" t="s">
        <v>364</v>
      </c>
      <c r="D93" s="79" t="s">
        <v>610</v>
      </c>
      <c r="E93" s="65">
        <f>F93+G93+H93+I93+J93+K93+M93+O93+Q93+S93+U93+V93+W93+X93+Z93+AA93+Y93</f>
        <v>12290824.58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154">
        <v>0</v>
      </c>
      <c r="M93" s="77">
        <v>0</v>
      </c>
      <c r="N93" s="77">
        <v>968.2</v>
      </c>
      <c r="O93" s="77">
        <v>11813620.279999999</v>
      </c>
      <c r="P93" s="77">
        <v>0</v>
      </c>
      <c r="Q93" s="77">
        <v>0</v>
      </c>
      <c r="R93" s="77">
        <v>0</v>
      </c>
      <c r="S93" s="77">
        <v>0</v>
      </c>
      <c r="T93" s="77">
        <v>0</v>
      </c>
      <c r="U93" s="77">
        <v>0</v>
      </c>
      <c r="V93" s="77">
        <v>0</v>
      </c>
      <c r="W93" s="77">
        <v>0</v>
      </c>
      <c r="X93" s="77">
        <v>0</v>
      </c>
      <c r="Y93" s="77">
        <v>300000</v>
      </c>
      <c r="Z93" s="77">
        <f>ROUND(O93*1.5%,2)</f>
        <v>177204.3</v>
      </c>
      <c r="AA93" s="77">
        <v>0</v>
      </c>
      <c r="AB93" s="70">
        <v>2026</v>
      </c>
      <c r="AC93" s="70">
        <v>2026</v>
      </c>
      <c r="AD93" s="70">
        <v>2026</v>
      </c>
    </row>
    <row r="94" spans="1:30" x14ac:dyDescent="0.3">
      <c r="A94">
        <v>1</v>
      </c>
      <c r="B94" s="68">
        <f>SUBTOTAL(9,$A$19:A94)</f>
        <v>71</v>
      </c>
      <c r="C94" s="73" t="s">
        <v>353</v>
      </c>
      <c r="D94" s="79" t="s">
        <v>610</v>
      </c>
      <c r="E94" s="65">
        <f>F94+G94+H94+I94+J94+K94+M94+O94+Q94+S94+U94+V94+W94+X94+Z94+AA94+Y94</f>
        <v>5760895.5800000001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7">
        <v>0</v>
      </c>
      <c r="L94" s="154">
        <v>0</v>
      </c>
      <c r="M94" s="77">
        <v>0</v>
      </c>
      <c r="N94" s="77">
        <v>693</v>
      </c>
      <c r="O94" s="77">
        <v>5478714.8600000003</v>
      </c>
      <c r="P94" s="77">
        <v>0</v>
      </c>
      <c r="Q94" s="77">
        <v>0</v>
      </c>
      <c r="R94" s="77">
        <v>0</v>
      </c>
      <c r="S94" s="77">
        <v>0</v>
      </c>
      <c r="T94" s="77">
        <v>0</v>
      </c>
      <c r="U94" s="77">
        <v>0</v>
      </c>
      <c r="V94" s="77">
        <v>0</v>
      </c>
      <c r="W94" s="77">
        <v>0</v>
      </c>
      <c r="X94" s="77">
        <v>0</v>
      </c>
      <c r="Y94" s="77">
        <v>200000</v>
      </c>
      <c r="Z94" s="77">
        <f>ROUND(O94*1.5%,2)</f>
        <v>82180.72</v>
      </c>
      <c r="AA94" s="77">
        <v>0</v>
      </c>
      <c r="AB94" s="70">
        <v>2026</v>
      </c>
      <c r="AC94" s="70">
        <v>2026</v>
      </c>
      <c r="AD94" s="70">
        <v>2026</v>
      </c>
    </row>
    <row r="95" spans="1:30" x14ac:dyDescent="0.3">
      <c r="B95" s="67" t="s">
        <v>503</v>
      </c>
      <c r="C95" s="67"/>
      <c r="D95" s="70"/>
      <c r="E95" s="72">
        <f t="shared" ref="E95:AA95" si="16">E96+E97+E98</f>
        <v>30481980.5</v>
      </c>
      <c r="F95" s="72">
        <f t="shared" si="16"/>
        <v>0</v>
      </c>
      <c r="G95" s="72">
        <f t="shared" si="16"/>
        <v>0</v>
      </c>
      <c r="H95" s="72">
        <f t="shared" si="16"/>
        <v>0</v>
      </c>
      <c r="I95" s="72">
        <f t="shared" si="16"/>
        <v>0</v>
      </c>
      <c r="J95" s="72">
        <f t="shared" si="16"/>
        <v>0</v>
      </c>
      <c r="K95" s="72">
        <f t="shared" si="16"/>
        <v>0</v>
      </c>
      <c r="L95" s="156">
        <f t="shared" si="16"/>
        <v>0</v>
      </c>
      <c r="M95" s="72">
        <f t="shared" si="16"/>
        <v>0</v>
      </c>
      <c r="N95" s="72">
        <f t="shared" si="16"/>
        <v>2340</v>
      </c>
      <c r="O95" s="72">
        <f t="shared" si="16"/>
        <v>28406775.870000001</v>
      </c>
      <c r="P95" s="72">
        <f t="shared" si="16"/>
        <v>0</v>
      </c>
      <c r="Q95" s="72">
        <f t="shared" si="16"/>
        <v>0</v>
      </c>
      <c r="R95" s="72">
        <f t="shared" si="16"/>
        <v>0</v>
      </c>
      <c r="S95" s="72">
        <f t="shared" si="16"/>
        <v>0</v>
      </c>
      <c r="T95" s="72">
        <f t="shared" si="16"/>
        <v>150</v>
      </c>
      <c r="U95" s="72">
        <f t="shared" si="16"/>
        <v>886699.51</v>
      </c>
      <c r="V95" s="72">
        <f t="shared" si="16"/>
        <v>0</v>
      </c>
      <c r="W95" s="72">
        <f t="shared" si="16"/>
        <v>0</v>
      </c>
      <c r="X95" s="72">
        <f t="shared" si="16"/>
        <v>0</v>
      </c>
      <c r="Y95" s="72">
        <f t="shared" si="16"/>
        <v>749102.99</v>
      </c>
      <c r="Z95" s="72">
        <f t="shared" si="16"/>
        <v>439402.13</v>
      </c>
      <c r="AA95" s="72">
        <f t="shared" si="16"/>
        <v>0</v>
      </c>
      <c r="AB95" s="66" t="s">
        <v>423</v>
      </c>
      <c r="AC95" s="66" t="s">
        <v>423</v>
      </c>
      <c r="AD95" s="66" t="s">
        <v>423</v>
      </c>
    </row>
    <row r="96" spans="1:30" x14ac:dyDescent="0.3">
      <c r="A96">
        <v>1</v>
      </c>
      <c r="B96" s="68">
        <f>SUBTOTAL(9,$A$19:A96)</f>
        <v>72</v>
      </c>
      <c r="C96" s="73" t="s">
        <v>598</v>
      </c>
      <c r="D96" s="70" t="s">
        <v>611</v>
      </c>
      <c r="E96" s="65">
        <f>F96+G96+H96+I96+J96+K96+M96+O96+Q96+S96+U96+V96+W96+X96+Z96+AA96+Y96</f>
        <v>10500000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154">
        <v>0</v>
      </c>
      <c r="M96" s="77">
        <v>0</v>
      </c>
      <c r="N96" s="77">
        <v>845</v>
      </c>
      <c r="O96" s="77">
        <v>10098522.17</v>
      </c>
      <c r="P96" s="77">
        <v>0</v>
      </c>
      <c r="Q96" s="77">
        <v>0</v>
      </c>
      <c r="R96" s="77">
        <v>0</v>
      </c>
      <c r="S96" s="77">
        <v>0</v>
      </c>
      <c r="T96" s="77">
        <v>0</v>
      </c>
      <c r="U96" s="77">
        <v>0</v>
      </c>
      <c r="V96" s="77">
        <v>0</v>
      </c>
      <c r="W96" s="77">
        <v>0</v>
      </c>
      <c r="X96" s="77">
        <v>0</v>
      </c>
      <c r="Y96" s="77">
        <v>250000</v>
      </c>
      <c r="Z96" s="77">
        <f>ROUND(O96*1.5%,2)</f>
        <v>151477.82999999999</v>
      </c>
      <c r="AA96" s="77">
        <v>0</v>
      </c>
      <c r="AB96" s="70">
        <v>2026</v>
      </c>
      <c r="AC96" s="70">
        <v>2026</v>
      </c>
      <c r="AD96" s="70">
        <v>2026</v>
      </c>
    </row>
    <row r="97" spans="1:31" x14ac:dyDescent="0.3">
      <c r="A97">
        <v>1</v>
      </c>
      <c r="B97" s="68">
        <f>SUBTOTAL(9,$A$19:A97)</f>
        <v>73</v>
      </c>
      <c r="C97" s="73" t="s">
        <v>381</v>
      </c>
      <c r="D97" s="70" t="s">
        <v>611</v>
      </c>
      <c r="E97" s="65">
        <f>F97+G97+H97+I97+J97+K97+M97+O97+Q97+S97+U97+V97+W97+X97+Z97+AA97+Y97</f>
        <v>13000000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7">
        <v>0</v>
      </c>
      <c r="L97" s="154">
        <v>0</v>
      </c>
      <c r="M97" s="77">
        <v>0</v>
      </c>
      <c r="N97" s="77">
        <v>945</v>
      </c>
      <c r="O97" s="77">
        <v>11576354.68</v>
      </c>
      <c r="P97" s="77">
        <v>0</v>
      </c>
      <c r="Q97" s="77">
        <v>0</v>
      </c>
      <c r="R97" s="77">
        <v>0</v>
      </c>
      <c r="S97" s="77">
        <v>0</v>
      </c>
      <c r="T97" s="77">
        <v>150</v>
      </c>
      <c r="U97" s="77">
        <v>886699.51</v>
      </c>
      <c r="V97" s="77">
        <v>0</v>
      </c>
      <c r="W97" s="77">
        <v>0</v>
      </c>
      <c r="X97" s="77">
        <v>0</v>
      </c>
      <c r="Y97" s="77">
        <v>350000</v>
      </c>
      <c r="Z97" s="77">
        <f>ROUND(O97*1.5%,2)+ROUND(U97*1.5%,2)</f>
        <v>186945.81</v>
      </c>
      <c r="AA97" s="77">
        <v>0</v>
      </c>
      <c r="AB97" s="70">
        <v>2026</v>
      </c>
      <c r="AC97" s="70">
        <v>2026</v>
      </c>
      <c r="AD97" s="70">
        <v>2026</v>
      </c>
    </row>
    <row r="98" spans="1:31" x14ac:dyDescent="0.3">
      <c r="A98">
        <v>1</v>
      </c>
      <c r="B98" s="68">
        <f>SUBTOTAL(9,$A$19:A98)</f>
        <v>74</v>
      </c>
      <c r="C98" s="73" t="s">
        <v>599</v>
      </c>
      <c r="D98" s="70" t="s">
        <v>611</v>
      </c>
      <c r="E98" s="65">
        <f>F98+G98+H98+I98+J98+K98+M98+O98+Q98+S98+U98+V98+W98+X98+Z98+AA98+Y98</f>
        <v>6981980.5</v>
      </c>
      <c r="F98" s="77">
        <v>0</v>
      </c>
      <c r="G98" s="77">
        <v>0</v>
      </c>
      <c r="H98" s="77">
        <v>0</v>
      </c>
      <c r="I98" s="77">
        <v>0</v>
      </c>
      <c r="J98" s="77">
        <v>0</v>
      </c>
      <c r="K98" s="77">
        <v>0</v>
      </c>
      <c r="L98" s="154">
        <v>0</v>
      </c>
      <c r="M98" s="77">
        <v>0</v>
      </c>
      <c r="N98" s="77">
        <v>550</v>
      </c>
      <c r="O98" s="77">
        <v>6731899.0199999996</v>
      </c>
      <c r="P98" s="77"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v>0</v>
      </c>
      <c r="W98" s="77">
        <v>0</v>
      </c>
      <c r="X98" s="77">
        <v>0</v>
      </c>
      <c r="Y98" s="77">
        <v>149102.99</v>
      </c>
      <c r="Z98" s="77">
        <f>ROUND(O98*1.5%,2)</f>
        <v>100978.49</v>
      </c>
      <c r="AA98" s="77">
        <v>0</v>
      </c>
      <c r="AB98" s="70">
        <v>2026</v>
      </c>
      <c r="AC98" s="70">
        <v>2026</v>
      </c>
      <c r="AD98" s="70">
        <v>2026</v>
      </c>
    </row>
    <row r="99" spans="1:31" s="82" customFormat="1" x14ac:dyDescent="0.3">
      <c r="A99"/>
      <c r="B99" s="67" t="s">
        <v>504</v>
      </c>
      <c r="C99" s="67"/>
      <c r="D99" s="70"/>
      <c r="E99" s="72">
        <f t="shared" ref="E99:AA99" si="17">E100</f>
        <v>12513494.880000001</v>
      </c>
      <c r="F99" s="72">
        <f t="shared" si="17"/>
        <v>0</v>
      </c>
      <c r="G99" s="72">
        <f t="shared" si="17"/>
        <v>0</v>
      </c>
      <c r="H99" s="72">
        <f t="shared" si="17"/>
        <v>0</v>
      </c>
      <c r="I99" s="72">
        <f t="shared" si="17"/>
        <v>0</v>
      </c>
      <c r="J99" s="72">
        <f t="shared" si="17"/>
        <v>0</v>
      </c>
      <c r="K99" s="72">
        <f t="shared" si="17"/>
        <v>0</v>
      </c>
      <c r="L99" s="156">
        <f t="shared" si="17"/>
        <v>0</v>
      </c>
      <c r="M99" s="72">
        <f t="shared" si="17"/>
        <v>0</v>
      </c>
      <c r="N99" s="72">
        <f t="shared" si="17"/>
        <v>1060</v>
      </c>
      <c r="O99" s="72">
        <f t="shared" si="17"/>
        <v>12328566.380000001</v>
      </c>
      <c r="P99" s="72">
        <f t="shared" si="17"/>
        <v>0</v>
      </c>
      <c r="Q99" s="72">
        <f t="shared" si="17"/>
        <v>0</v>
      </c>
      <c r="R99" s="72">
        <f t="shared" si="17"/>
        <v>0</v>
      </c>
      <c r="S99" s="72">
        <f t="shared" si="17"/>
        <v>0</v>
      </c>
      <c r="T99" s="72">
        <f t="shared" si="17"/>
        <v>0</v>
      </c>
      <c r="U99" s="72">
        <f t="shared" si="17"/>
        <v>0</v>
      </c>
      <c r="V99" s="72">
        <f t="shared" si="17"/>
        <v>0</v>
      </c>
      <c r="W99" s="72">
        <f t="shared" si="17"/>
        <v>0</v>
      </c>
      <c r="X99" s="72">
        <f t="shared" si="17"/>
        <v>0</v>
      </c>
      <c r="Y99" s="72">
        <f t="shared" si="17"/>
        <v>0</v>
      </c>
      <c r="Z99" s="72">
        <f t="shared" si="17"/>
        <v>184928.5</v>
      </c>
      <c r="AA99" s="72">
        <f t="shared" si="17"/>
        <v>0</v>
      </c>
      <c r="AB99" s="66" t="s">
        <v>423</v>
      </c>
      <c r="AC99" s="66" t="s">
        <v>423</v>
      </c>
      <c r="AD99" s="66" t="s">
        <v>423</v>
      </c>
    </row>
    <row r="100" spans="1:31" s="82" customFormat="1" x14ac:dyDescent="0.3">
      <c r="A100">
        <v>1</v>
      </c>
      <c r="B100" s="68">
        <f>SUBTOTAL(9,$A$19:A100)</f>
        <v>75</v>
      </c>
      <c r="C100" s="73" t="s">
        <v>630</v>
      </c>
      <c r="D100" s="70" t="s">
        <v>611</v>
      </c>
      <c r="E100" s="65">
        <f>F100+G100+H100+I100+J100+K100+M100+O100+Q100+S100+U100+V100+W100+X100+Z100+AA100+Y100</f>
        <v>12513494.880000001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155">
        <v>0</v>
      </c>
      <c r="M100" s="77">
        <v>0</v>
      </c>
      <c r="N100" s="77">
        <v>1060</v>
      </c>
      <c r="O100" s="77">
        <v>12328566.380000001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  <c r="W100" s="77">
        <v>0</v>
      </c>
      <c r="X100" s="77">
        <v>0</v>
      </c>
      <c r="Y100" s="77">
        <v>0</v>
      </c>
      <c r="Z100" s="77">
        <f>ROUND(O100*1.5%,2)</f>
        <v>184928.5</v>
      </c>
      <c r="AA100" s="77">
        <v>0</v>
      </c>
      <c r="AB100" s="70" t="s">
        <v>426</v>
      </c>
      <c r="AC100" s="70">
        <v>2026</v>
      </c>
      <c r="AD100" s="70">
        <v>2026</v>
      </c>
    </row>
    <row r="101" spans="1:31" x14ac:dyDescent="0.3">
      <c r="B101" s="67" t="s">
        <v>505</v>
      </c>
      <c r="C101" s="67"/>
      <c r="D101" s="70"/>
      <c r="E101" s="72">
        <f t="shared" ref="E101:AA101" si="18">E102</f>
        <v>7934068.75</v>
      </c>
      <c r="F101" s="72">
        <f t="shared" si="18"/>
        <v>0</v>
      </c>
      <c r="G101" s="72">
        <f t="shared" si="18"/>
        <v>0</v>
      </c>
      <c r="H101" s="72">
        <f t="shared" si="18"/>
        <v>0</v>
      </c>
      <c r="I101" s="72">
        <f t="shared" si="18"/>
        <v>0</v>
      </c>
      <c r="J101" s="72">
        <f t="shared" si="18"/>
        <v>0</v>
      </c>
      <c r="K101" s="72">
        <f t="shared" si="18"/>
        <v>0</v>
      </c>
      <c r="L101" s="156">
        <f t="shared" si="18"/>
        <v>0</v>
      </c>
      <c r="M101" s="72">
        <f t="shared" si="18"/>
        <v>0</v>
      </c>
      <c r="N101" s="72">
        <f t="shared" si="18"/>
        <v>625</v>
      </c>
      <c r="O101" s="72">
        <f t="shared" si="18"/>
        <v>7619772.1699999999</v>
      </c>
      <c r="P101" s="72">
        <f t="shared" si="18"/>
        <v>0</v>
      </c>
      <c r="Q101" s="72">
        <f t="shared" si="18"/>
        <v>0</v>
      </c>
      <c r="R101" s="72">
        <f t="shared" si="18"/>
        <v>0</v>
      </c>
      <c r="S101" s="72">
        <f t="shared" si="18"/>
        <v>0</v>
      </c>
      <c r="T101" s="72">
        <f t="shared" si="18"/>
        <v>0</v>
      </c>
      <c r="U101" s="72">
        <f t="shared" si="18"/>
        <v>0</v>
      </c>
      <c r="V101" s="72">
        <f t="shared" si="18"/>
        <v>0</v>
      </c>
      <c r="W101" s="72">
        <f t="shared" si="18"/>
        <v>0</v>
      </c>
      <c r="X101" s="72">
        <f t="shared" si="18"/>
        <v>0</v>
      </c>
      <c r="Y101" s="72">
        <f t="shared" si="18"/>
        <v>200000</v>
      </c>
      <c r="Z101" s="72">
        <f t="shared" si="18"/>
        <v>114296.58</v>
      </c>
      <c r="AA101" s="72">
        <f t="shared" si="18"/>
        <v>0</v>
      </c>
      <c r="AB101" s="66" t="s">
        <v>423</v>
      </c>
      <c r="AC101" s="66" t="s">
        <v>423</v>
      </c>
      <c r="AD101" s="66" t="s">
        <v>423</v>
      </c>
    </row>
    <row r="102" spans="1:31" x14ac:dyDescent="0.3">
      <c r="A102">
        <v>1</v>
      </c>
      <c r="B102" s="68">
        <f>SUBTOTAL(9,$A$19:A102)</f>
        <v>76</v>
      </c>
      <c r="C102" s="73" t="s">
        <v>371</v>
      </c>
      <c r="D102" s="70" t="s">
        <v>611</v>
      </c>
      <c r="E102" s="65">
        <f>F102+G102+H102+I102+J102+K102+M102+O102+Q102+S102+U102+V102+W102+X102+Z102+AA102+Y102</f>
        <v>7934068.75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155">
        <v>0</v>
      </c>
      <c r="M102" s="77">
        <v>0</v>
      </c>
      <c r="N102" s="77">
        <v>625</v>
      </c>
      <c r="O102" s="77">
        <v>7619772.1699999999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  <c r="W102" s="77">
        <v>0</v>
      </c>
      <c r="X102" s="77">
        <v>0</v>
      </c>
      <c r="Y102" s="77">
        <v>200000</v>
      </c>
      <c r="Z102" s="77">
        <f>ROUND(O102*1.5%,2)</f>
        <v>114296.58</v>
      </c>
      <c r="AA102" s="77">
        <v>0</v>
      </c>
      <c r="AB102" s="70">
        <v>2026</v>
      </c>
      <c r="AC102" s="70">
        <v>2026</v>
      </c>
      <c r="AD102" s="70">
        <v>2026</v>
      </c>
    </row>
    <row r="103" spans="1:31" x14ac:dyDescent="0.3">
      <c r="B103" s="67" t="s">
        <v>506</v>
      </c>
      <c r="C103" s="67"/>
      <c r="D103" s="70"/>
      <c r="E103" s="72">
        <f t="shared" ref="E103:AA103" si="19">E104</f>
        <v>4570023.5999999996</v>
      </c>
      <c r="F103" s="72">
        <f t="shared" si="19"/>
        <v>0</v>
      </c>
      <c r="G103" s="72">
        <f t="shared" si="19"/>
        <v>0</v>
      </c>
      <c r="H103" s="72">
        <f t="shared" si="19"/>
        <v>0</v>
      </c>
      <c r="I103" s="72">
        <f t="shared" si="19"/>
        <v>0</v>
      </c>
      <c r="J103" s="72">
        <f t="shared" si="19"/>
        <v>0</v>
      </c>
      <c r="K103" s="72">
        <f t="shared" si="19"/>
        <v>0</v>
      </c>
      <c r="L103" s="156">
        <f t="shared" si="19"/>
        <v>0</v>
      </c>
      <c r="M103" s="72">
        <f t="shared" si="19"/>
        <v>0</v>
      </c>
      <c r="N103" s="72">
        <f t="shared" si="19"/>
        <v>360</v>
      </c>
      <c r="O103" s="72">
        <f t="shared" si="19"/>
        <v>4305441.97</v>
      </c>
      <c r="P103" s="72">
        <f t="shared" si="19"/>
        <v>0</v>
      </c>
      <c r="Q103" s="72">
        <f t="shared" si="19"/>
        <v>0</v>
      </c>
      <c r="R103" s="72">
        <f t="shared" si="19"/>
        <v>0</v>
      </c>
      <c r="S103" s="72">
        <f t="shared" si="19"/>
        <v>0</v>
      </c>
      <c r="T103" s="72">
        <f t="shared" si="19"/>
        <v>0</v>
      </c>
      <c r="U103" s="72">
        <f t="shared" si="19"/>
        <v>0</v>
      </c>
      <c r="V103" s="72">
        <f t="shared" si="19"/>
        <v>0</v>
      </c>
      <c r="W103" s="72">
        <f t="shared" si="19"/>
        <v>0</v>
      </c>
      <c r="X103" s="72">
        <f t="shared" si="19"/>
        <v>0</v>
      </c>
      <c r="Y103" s="72">
        <f t="shared" si="19"/>
        <v>200000</v>
      </c>
      <c r="Z103" s="72">
        <f t="shared" si="19"/>
        <v>64581.63</v>
      </c>
      <c r="AA103" s="72">
        <f t="shared" si="19"/>
        <v>0</v>
      </c>
      <c r="AB103" s="66" t="s">
        <v>423</v>
      </c>
      <c r="AC103" s="66" t="s">
        <v>423</v>
      </c>
      <c r="AD103" s="66" t="s">
        <v>423</v>
      </c>
    </row>
    <row r="104" spans="1:31" x14ac:dyDescent="0.3">
      <c r="A104">
        <v>1</v>
      </c>
      <c r="B104" s="68">
        <f>SUBTOTAL(9,$A$19:A104)</f>
        <v>77</v>
      </c>
      <c r="C104" s="73" t="s">
        <v>376</v>
      </c>
      <c r="D104" s="70" t="s">
        <v>611</v>
      </c>
      <c r="E104" s="65">
        <f>F104+G104+H104+I104+J104+K104+M104+O104+Q104+S104+U104+V104+W104+X104+Z104+AA104+Y104</f>
        <v>4570023.5999999996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  <c r="K104" s="77">
        <v>0</v>
      </c>
      <c r="L104" s="155">
        <v>0</v>
      </c>
      <c r="M104" s="77">
        <v>0</v>
      </c>
      <c r="N104" s="77">
        <v>360</v>
      </c>
      <c r="O104" s="77">
        <v>4305441.97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  <c r="W104" s="77">
        <v>0</v>
      </c>
      <c r="X104" s="77">
        <v>0</v>
      </c>
      <c r="Y104" s="77">
        <v>200000</v>
      </c>
      <c r="Z104" s="77">
        <f>ROUND(O104*1.5%,2)</f>
        <v>64581.63</v>
      </c>
      <c r="AA104" s="77">
        <v>0</v>
      </c>
      <c r="AB104" s="70">
        <v>2026</v>
      </c>
      <c r="AC104" s="70">
        <v>2026</v>
      </c>
      <c r="AD104" s="70">
        <v>2026</v>
      </c>
    </row>
    <row r="105" spans="1:31" x14ac:dyDescent="0.3">
      <c r="B105" s="67" t="s">
        <v>509</v>
      </c>
      <c r="C105" s="67"/>
      <c r="D105" s="70"/>
      <c r="E105" s="72">
        <f t="shared" ref="E105:AA105" si="20">E106+E107</f>
        <v>12256188.469999999</v>
      </c>
      <c r="F105" s="72">
        <f t="shared" si="20"/>
        <v>0</v>
      </c>
      <c r="G105" s="72">
        <f t="shared" si="20"/>
        <v>0</v>
      </c>
      <c r="H105" s="72">
        <f t="shared" si="20"/>
        <v>0</v>
      </c>
      <c r="I105" s="72">
        <f t="shared" si="20"/>
        <v>0</v>
      </c>
      <c r="J105" s="72">
        <f t="shared" si="20"/>
        <v>0</v>
      </c>
      <c r="K105" s="72">
        <f t="shared" si="20"/>
        <v>0</v>
      </c>
      <c r="L105" s="156">
        <f t="shared" si="20"/>
        <v>0</v>
      </c>
      <c r="M105" s="72">
        <f t="shared" si="20"/>
        <v>0</v>
      </c>
      <c r="N105" s="72">
        <f t="shared" si="20"/>
        <v>0</v>
      </c>
      <c r="O105" s="72">
        <f t="shared" si="20"/>
        <v>0</v>
      </c>
      <c r="P105" s="72">
        <f t="shared" si="20"/>
        <v>0</v>
      </c>
      <c r="Q105" s="72">
        <f t="shared" si="20"/>
        <v>0</v>
      </c>
      <c r="R105" s="72">
        <f t="shared" si="20"/>
        <v>1266.33</v>
      </c>
      <c r="S105" s="72">
        <f t="shared" si="20"/>
        <v>9345637.0700000003</v>
      </c>
      <c r="T105" s="72">
        <f t="shared" si="20"/>
        <v>71</v>
      </c>
      <c r="U105" s="72">
        <f t="shared" si="20"/>
        <v>2729425.46</v>
      </c>
      <c r="V105" s="72">
        <f t="shared" si="20"/>
        <v>0</v>
      </c>
      <c r="W105" s="72">
        <f t="shared" si="20"/>
        <v>0</v>
      </c>
      <c r="X105" s="72">
        <f t="shared" si="20"/>
        <v>0</v>
      </c>
      <c r="Y105" s="72">
        <f t="shared" si="20"/>
        <v>0</v>
      </c>
      <c r="Z105" s="72">
        <f t="shared" si="20"/>
        <v>181125.94</v>
      </c>
      <c r="AA105" s="72">
        <f t="shared" si="20"/>
        <v>0</v>
      </c>
      <c r="AB105" s="66" t="s">
        <v>423</v>
      </c>
      <c r="AC105" s="66" t="s">
        <v>423</v>
      </c>
      <c r="AD105" s="66" t="s">
        <v>423</v>
      </c>
    </row>
    <row r="106" spans="1:31" s="82" customFormat="1" x14ac:dyDescent="0.3">
      <c r="A106">
        <v>1</v>
      </c>
      <c r="B106" s="68">
        <f>SUBTOTAL(9,$A$19:A106)</f>
        <v>78</v>
      </c>
      <c r="C106" s="78" t="s">
        <v>592</v>
      </c>
      <c r="D106" s="70" t="s">
        <v>611</v>
      </c>
      <c r="E106" s="72">
        <f>F106+G106+H106+I106+J106+K106+M106+O106+Q106+S106+U106+V106+W106+X106+Y106+Z106+AA106</f>
        <v>6070660.6799999997</v>
      </c>
      <c r="F106" s="76">
        <v>0</v>
      </c>
      <c r="G106" s="76">
        <v>0</v>
      </c>
      <c r="H106" s="76">
        <v>0</v>
      </c>
      <c r="I106" s="76">
        <v>0</v>
      </c>
      <c r="J106" s="76">
        <v>0</v>
      </c>
      <c r="K106" s="76">
        <v>0</v>
      </c>
      <c r="L106" s="154">
        <v>0</v>
      </c>
      <c r="M106" s="76">
        <v>0</v>
      </c>
      <c r="N106" s="72">
        <v>0</v>
      </c>
      <c r="O106" s="89">
        <v>0</v>
      </c>
      <c r="P106" s="76">
        <v>0</v>
      </c>
      <c r="Q106" s="76">
        <v>0</v>
      </c>
      <c r="R106" s="76">
        <v>787</v>
      </c>
      <c r="S106" s="72">
        <f>5340245.56-2088724.54</f>
        <v>3251521.0199999996</v>
      </c>
      <c r="T106" s="76">
        <v>71</v>
      </c>
      <c r="U106" s="76">
        <v>2729425.46</v>
      </c>
      <c r="V106" s="76">
        <v>0</v>
      </c>
      <c r="W106" s="76">
        <v>0</v>
      </c>
      <c r="X106" s="76">
        <v>0</v>
      </c>
      <c r="Y106" s="76">
        <v>0</v>
      </c>
      <c r="Z106" s="72">
        <f>ROUND(S106*1.5%,2)+ROUND(U106*1.5%,2)</f>
        <v>89714.2</v>
      </c>
      <c r="AA106" s="76">
        <v>0</v>
      </c>
      <c r="AB106" s="59" t="s">
        <v>426</v>
      </c>
      <c r="AC106" s="59">
        <v>2026</v>
      </c>
      <c r="AD106" s="59">
        <v>2026</v>
      </c>
    </row>
    <row r="107" spans="1:31" s="82" customFormat="1" x14ac:dyDescent="0.3">
      <c r="A107">
        <v>1</v>
      </c>
      <c r="B107" s="68">
        <f>SUBTOTAL(9,$A$19:A107)</f>
        <v>79</v>
      </c>
      <c r="C107" s="78" t="s">
        <v>667</v>
      </c>
      <c r="D107" s="59" t="s">
        <v>611</v>
      </c>
      <c r="E107" s="72">
        <f>F107+G107+H107+I107+J107+K107+M107+O107+Q107+S107+U107+V107+W107+X107+Y107+Z107+AA107</f>
        <v>6185527.79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154">
        <v>0</v>
      </c>
      <c r="M107" s="76">
        <v>0</v>
      </c>
      <c r="N107" s="72">
        <v>0</v>
      </c>
      <c r="O107" s="89">
        <v>0</v>
      </c>
      <c r="P107" s="76">
        <v>0</v>
      </c>
      <c r="Q107" s="76">
        <v>0</v>
      </c>
      <c r="R107" s="76">
        <v>479.33</v>
      </c>
      <c r="S107" s="72">
        <f>2121804.03+3972312.02</f>
        <v>6094116.0499999998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2">
        <v>0</v>
      </c>
      <c r="Z107" s="72">
        <f>ROUND(S107*1.5%,2)</f>
        <v>91411.74</v>
      </c>
      <c r="AA107" s="76">
        <v>0</v>
      </c>
      <c r="AB107" s="59" t="s">
        <v>426</v>
      </c>
      <c r="AC107" s="59">
        <v>2026</v>
      </c>
      <c r="AD107" s="59">
        <v>2026</v>
      </c>
      <c r="AE107" s="85"/>
    </row>
    <row r="108" spans="1:31" x14ac:dyDescent="0.3">
      <c r="B108" s="67" t="s">
        <v>692</v>
      </c>
      <c r="C108" s="67"/>
      <c r="D108" s="87"/>
      <c r="E108" s="72">
        <f>SUM(E109:E114)</f>
        <v>32255875.340000004</v>
      </c>
      <c r="F108" s="72">
        <f t="shared" ref="F108:AA108" si="21">SUM(F109:F114)</f>
        <v>307893.59999999998</v>
      </c>
      <c r="G108" s="72">
        <f t="shared" si="21"/>
        <v>0</v>
      </c>
      <c r="H108" s="72">
        <f t="shared" si="21"/>
        <v>0</v>
      </c>
      <c r="I108" s="72">
        <f t="shared" si="21"/>
        <v>362620.69</v>
      </c>
      <c r="J108" s="72">
        <f t="shared" si="21"/>
        <v>683248.28</v>
      </c>
      <c r="K108" s="72">
        <f t="shared" si="21"/>
        <v>0</v>
      </c>
      <c r="L108" s="156">
        <f t="shared" si="21"/>
        <v>0</v>
      </c>
      <c r="M108" s="72">
        <f t="shared" si="21"/>
        <v>0</v>
      </c>
      <c r="N108" s="72">
        <f t="shared" si="21"/>
        <v>2754.5699999999997</v>
      </c>
      <c r="O108" s="72">
        <f t="shared" si="21"/>
        <v>30080597.370000001</v>
      </c>
      <c r="P108" s="72">
        <f t="shared" si="21"/>
        <v>0</v>
      </c>
      <c r="Q108" s="72">
        <f t="shared" si="21"/>
        <v>0</v>
      </c>
      <c r="R108" s="72">
        <f t="shared" si="21"/>
        <v>0</v>
      </c>
      <c r="S108" s="72">
        <f t="shared" si="21"/>
        <v>0</v>
      </c>
      <c r="T108" s="72">
        <f t="shared" si="21"/>
        <v>0</v>
      </c>
      <c r="U108" s="72">
        <f t="shared" si="21"/>
        <v>0</v>
      </c>
      <c r="V108" s="72">
        <f t="shared" si="21"/>
        <v>0</v>
      </c>
      <c r="W108" s="72">
        <f t="shared" si="21"/>
        <v>0</v>
      </c>
      <c r="X108" s="72">
        <f t="shared" si="21"/>
        <v>0</v>
      </c>
      <c r="Y108" s="72">
        <f t="shared" si="21"/>
        <v>350000</v>
      </c>
      <c r="Z108" s="72">
        <f t="shared" si="21"/>
        <v>471515.39999999997</v>
      </c>
      <c r="AA108" s="72">
        <f t="shared" si="21"/>
        <v>0</v>
      </c>
      <c r="AB108" s="66" t="s">
        <v>423</v>
      </c>
      <c r="AC108" s="66" t="s">
        <v>423</v>
      </c>
      <c r="AD108" s="66" t="s">
        <v>423</v>
      </c>
    </row>
    <row r="109" spans="1:31" x14ac:dyDescent="0.3">
      <c r="A109">
        <v>1</v>
      </c>
      <c r="B109" s="68">
        <f>SUBTOTAL(9,$A$19:A109)</f>
        <v>80</v>
      </c>
      <c r="C109" s="73" t="s">
        <v>583</v>
      </c>
      <c r="D109" s="79" t="s">
        <v>612</v>
      </c>
      <c r="E109" s="65">
        <f t="shared" ref="E109:E114" si="22">F109+G109+H109+I109+J109+K109+M109+O109+Q109+S109+U109+V109+W109+X109+Z109+AA109+Y109</f>
        <v>7964524.9100000001</v>
      </c>
      <c r="F109" s="72">
        <v>0</v>
      </c>
      <c r="G109" s="72">
        <v>0</v>
      </c>
      <c r="H109" s="72">
        <v>0</v>
      </c>
      <c r="I109" s="72">
        <v>0</v>
      </c>
      <c r="J109" s="72">
        <v>0</v>
      </c>
      <c r="K109" s="72">
        <v>0</v>
      </c>
      <c r="L109" s="156">
        <v>0</v>
      </c>
      <c r="M109" s="72">
        <v>0</v>
      </c>
      <c r="N109" s="72">
        <v>785.02</v>
      </c>
      <c r="O109" s="72">
        <v>7846822.5700000003</v>
      </c>
      <c r="P109" s="77">
        <v>0</v>
      </c>
      <c r="Q109" s="77">
        <v>0</v>
      </c>
      <c r="R109" s="77">
        <v>0</v>
      </c>
      <c r="S109" s="77">
        <v>0</v>
      </c>
      <c r="T109" s="77">
        <v>0</v>
      </c>
      <c r="U109" s="77">
        <v>0</v>
      </c>
      <c r="V109" s="77">
        <v>0</v>
      </c>
      <c r="W109" s="77">
        <v>0</v>
      </c>
      <c r="X109" s="77">
        <v>0</v>
      </c>
      <c r="Y109" s="77">
        <v>0</v>
      </c>
      <c r="Z109" s="77">
        <f>ROUND(O109*1.5%,2)</f>
        <v>117702.34</v>
      </c>
      <c r="AA109" s="77">
        <v>0</v>
      </c>
      <c r="AB109" s="66" t="s">
        <v>426</v>
      </c>
      <c r="AC109" s="70">
        <v>2026</v>
      </c>
      <c r="AD109" s="70">
        <v>2026</v>
      </c>
    </row>
    <row r="110" spans="1:31" x14ac:dyDescent="0.3">
      <c r="A110">
        <v>1</v>
      </c>
      <c r="B110" s="68">
        <f>SUBTOTAL(9,$A$19:A110)</f>
        <v>81</v>
      </c>
      <c r="C110" s="73" t="s">
        <v>170</v>
      </c>
      <c r="D110" s="79" t="s">
        <v>612</v>
      </c>
      <c r="E110" s="65">
        <f t="shared" si="22"/>
        <v>5810847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156">
        <v>0</v>
      </c>
      <c r="M110" s="72">
        <v>0</v>
      </c>
      <c r="N110" s="72">
        <v>501.7</v>
      </c>
      <c r="O110" s="72">
        <v>5724972.4100000001</v>
      </c>
      <c r="P110" s="77">
        <v>0</v>
      </c>
      <c r="Q110" s="77">
        <v>0</v>
      </c>
      <c r="R110" s="77">
        <v>0</v>
      </c>
      <c r="S110" s="77">
        <v>0</v>
      </c>
      <c r="T110" s="77">
        <v>0</v>
      </c>
      <c r="U110" s="77">
        <v>0</v>
      </c>
      <c r="V110" s="77">
        <v>0</v>
      </c>
      <c r="W110" s="77">
        <v>0</v>
      </c>
      <c r="X110" s="77">
        <v>0</v>
      </c>
      <c r="Y110" s="77">
        <v>0</v>
      </c>
      <c r="Z110" s="77">
        <f>ROUND(O110*1.5%,2)</f>
        <v>85874.59</v>
      </c>
      <c r="AA110" s="77">
        <v>0</v>
      </c>
      <c r="AB110" s="66" t="s">
        <v>426</v>
      </c>
      <c r="AC110" s="70">
        <v>2026</v>
      </c>
      <c r="AD110" s="70">
        <v>2026</v>
      </c>
    </row>
    <row r="111" spans="1:31" x14ac:dyDescent="0.3">
      <c r="A111">
        <v>1</v>
      </c>
      <c r="B111" s="68">
        <f>SUBTOTAL(9,$A$19:A111)</f>
        <v>82</v>
      </c>
      <c r="C111" s="73" t="s">
        <v>582</v>
      </c>
      <c r="D111" s="79" t="s">
        <v>612</v>
      </c>
      <c r="E111" s="65">
        <f t="shared" si="22"/>
        <v>5329155.3</v>
      </c>
      <c r="F111" s="7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156">
        <v>0</v>
      </c>
      <c r="M111" s="72">
        <v>0</v>
      </c>
      <c r="N111" s="72">
        <v>419.8</v>
      </c>
      <c r="O111" s="72">
        <v>5102616.0599999996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7">
        <v>0</v>
      </c>
      <c r="Y111" s="77">
        <v>150000</v>
      </c>
      <c r="Z111" s="77">
        <f>ROUND(O111*1.5%,2)</f>
        <v>76539.240000000005</v>
      </c>
      <c r="AA111" s="77">
        <v>0</v>
      </c>
      <c r="AB111" s="70">
        <v>2026</v>
      </c>
      <c r="AC111" s="70">
        <v>2026</v>
      </c>
      <c r="AD111" s="70">
        <v>2026</v>
      </c>
    </row>
    <row r="112" spans="1:31" x14ac:dyDescent="0.3">
      <c r="A112">
        <v>1</v>
      </c>
      <c r="B112" s="68">
        <f>SUBTOTAL(9,$A$19:A112)</f>
        <v>83</v>
      </c>
      <c r="C112" s="73" t="s">
        <v>171</v>
      </c>
      <c r="D112" s="79" t="s">
        <v>612</v>
      </c>
      <c r="E112" s="65">
        <f t="shared" si="22"/>
        <v>1374069</v>
      </c>
      <c r="F112" s="72">
        <v>307893.59999999998</v>
      </c>
      <c r="G112" s="72">
        <v>0</v>
      </c>
      <c r="H112" s="72">
        <v>0</v>
      </c>
      <c r="I112" s="72">
        <v>362620.69</v>
      </c>
      <c r="J112" s="72">
        <v>683248.28</v>
      </c>
      <c r="K112" s="72">
        <v>0</v>
      </c>
      <c r="L112" s="156">
        <v>0</v>
      </c>
      <c r="M112" s="72">
        <v>0</v>
      </c>
      <c r="N112" s="72">
        <v>0</v>
      </c>
      <c r="O112" s="72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  <c r="W112" s="77">
        <v>0</v>
      </c>
      <c r="X112" s="77">
        <v>0</v>
      </c>
      <c r="Y112" s="77">
        <v>0</v>
      </c>
      <c r="Z112" s="77">
        <f>ROUND(F112*1.5%,2)+ROUND(I112*1.5%,2)+ROUND(J112*1.5%,2)</f>
        <v>20306.43</v>
      </c>
      <c r="AA112" s="77">
        <v>0</v>
      </c>
      <c r="AB112" s="66" t="s">
        <v>426</v>
      </c>
      <c r="AC112" s="70">
        <v>2026</v>
      </c>
      <c r="AD112" s="70">
        <v>2026</v>
      </c>
    </row>
    <row r="113" spans="1:30" x14ac:dyDescent="0.3">
      <c r="A113">
        <v>1</v>
      </c>
      <c r="B113" s="68">
        <f>SUBTOTAL(9,$A$19:A113)</f>
        <v>84</v>
      </c>
      <c r="C113" s="73" t="s">
        <v>608</v>
      </c>
      <c r="D113" s="79" t="s">
        <v>612</v>
      </c>
      <c r="E113" s="65">
        <f t="shared" si="22"/>
        <v>3340000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156">
        <v>0</v>
      </c>
      <c r="M113" s="72">
        <v>0</v>
      </c>
      <c r="N113" s="72">
        <v>383.41</v>
      </c>
      <c r="O113" s="72">
        <v>3290640.39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v>0</v>
      </c>
      <c r="V113" s="77">
        <v>0</v>
      </c>
      <c r="W113" s="77">
        <v>0</v>
      </c>
      <c r="X113" s="77">
        <v>0</v>
      </c>
      <c r="Y113" s="77">
        <v>0</v>
      </c>
      <c r="Z113" s="77">
        <f>ROUND(O113*1.5%,2)</f>
        <v>49359.61</v>
      </c>
      <c r="AA113" s="77">
        <v>0</v>
      </c>
      <c r="AB113" s="66" t="s">
        <v>426</v>
      </c>
      <c r="AC113" s="70">
        <v>2026</v>
      </c>
      <c r="AD113" s="70">
        <v>2026</v>
      </c>
    </row>
    <row r="114" spans="1:30" x14ac:dyDescent="0.3">
      <c r="A114">
        <v>1</v>
      </c>
      <c r="B114" s="68">
        <f>SUBTOTAL(9,$A$19:A114)</f>
        <v>85</v>
      </c>
      <c r="C114" s="73" t="s">
        <v>581</v>
      </c>
      <c r="D114" s="79" t="s">
        <v>612</v>
      </c>
      <c r="E114" s="65">
        <f t="shared" si="22"/>
        <v>8437279.1300000008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156">
        <v>0</v>
      </c>
      <c r="M114" s="72">
        <v>0</v>
      </c>
      <c r="N114" s="72">
        <v>664.64</v>
      </c>
      <c r="O114" s="72">
        <v>8115545.9400000004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0</v>
      </c>
      <c r="Y114" s="77">
        <v>200000</v>
      </c>
      <c r="Z114" s="77">
        <f>ROUND(O114*1.5%,2)</f>
        <v>121733.19</v>
      </c>
      <c r="AA114" s="77">
        <v>0</v>
      </c>
      <c r="AB114" s="70">
        <v>2026</v>
      </c>
      <c r="AC114" s="70">
        <v>2026</v>
      </c>
      <c r="AD114" s="70">
        <v>2026</v>
      </c>
    </row>
    <row r="115" spans="1:30" x14ac:dyDescent="0.3">
      <c r="B115" s="62" t="s">
        <v>691</v>
      </c>
      <c r="C115" s="63"/>
      <c r="D115" s="64"/>
      <c r="E115" s="65">
        <f>E116+E117+E118</f>
        <v>25234806.379999999</v>
      </c>
      <c r="F115" s="65">
        <f t="shared" ref="F115:AA115" si="23">F116+F117+F118</f>
        <v>0</v>
      </c>
      <c r="G115" s="65">
        <f t="shared" si="23"/>
        <v>0</v>
      </c>
      <c r="H115" s="65">
        <f t="shared" si="23"/>
        <v>0</v>
      </c>
      <c r="I115" s="65">
        <f t="shared" si="23"/>
        <v>0</v>
      </c>
      <c r="J115" s="65">
        <f t="shared" si="23"/>
        <v>0</v>
      </c>
      <c r="K115" s="65">
        <f t="shared" si="23"/>
        <v>0</v>
      </c>
      <c r="L115" s="152">
        <f t="shared" si="23"/>
        <v>0</v>
      </c>
      <c r="M115" s="65">
        <f t="shared" si="23"/>
        <v>0</v>
      </c>
      <c r="N115" s="65">
        <f t="shared" si="23"/>
        <v>1508</v>
      </c>
      <c r="O115" s="65">
        <f t="shared" si="23"/>
        <v>24363264.539999999</v>
      </c>
      <c r="P115" s="65">
        <f t="shared" si="23"/>
        <v>0</v>
      </c>
      <c r="Q115" s="65">
        <f t="shared" si="23"/>
        <v>0</v>
      </c>
      <c r="R115" s="65">
        <f t="shared" si="23"/>
        <v>0</v>
      </c>
      <c r="S115" s="65">
        <f t="shared" si="23"/>
        <v>0</v>
      </c>
      <c r="T115" s="65">
        <f t="shared" si="23"/>
        <v>0</v>
      </c>
      <c r="U115" s="65">
        <f t="shared" si="23"/>
        <v>0</v>
      </c>
      <c r="V115" s="65">
        <f t="shared" si="23"/>
        <v>0</v>
      </c>
      <c r="W115" s="65">
        <f t="shared" si="23"/>
        <v>0</v>
      </c>
      <c r="X115" s="65">
        <f t="shared" si="23"/>
        <v>0</v>
      </c>
      <c r="Y115" s="65">
        <f t="shared" si="23"/>
        <v>506092.87</v>
      </c>
      <c r="Z115" s="65">
        <f t="shared" si="23"/>
        <v>365448.97</v>
      </c>
      <c r="AA115" s="65">
        <f t="shared" si="23"/>
        <v>0</v>
      </c>
      <c r="AB115" s="66" t="s">
        <v>423</v>
      </c>
      <c r="AC115" s="66" t="s">
        <v>423</v>
      </c>
      <c r="AD115" s="66" t="s">
        <v>423</v>
      </c>
    </row>
    <row r="116" spans="1:30" x14ac:dyDescent="0.3">
      <c r="A116">
        <v>1</v>
      </c>
      <c r="B116" s="68">
        <f>SUBTOTAL(9,$A$19:A116)</f>
        <v>86</v>
      </c>
      <c r="C116" s="73" t="s">
        <v>176</v>
      </c>
      <c r="D116" s="79" t="s">
        <v>613</v>
      </c>
      <c r="E116" s="65">
        <f>F116+G116+H116+I116+J116+K116+M116+O116+Q116+S116+U116+V116+W116+X116+Z116+AA116+Y116</f>
        <v>4443078.5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155">
        <v>0</v>
      </c>
      <c r="M116" s="77">
        <v>0</v>
      </c>
      <c r="N116" s="72">
        <v>350</v>
      </c>
      <c r="O116" s="72">
        <f>4229633.99-6002.83</f>
        <v>4223631.16</v>
      </c>
      <c r="P116" s="77">
        <v>0</v>
      </c>
      <c r="Q116" s="77">
        <v>0</v>
      </c>
      <c r="R116" s="77">
        <v>0</v>
      </c>
      <c r="S116" s="77">
        <v>0</v>
      </c>
      <c r="T116" s="77">
        <v>0</v>
      </c>
      <c r="U116" s="77">
        <v>0</v>
      </c>
      <c r="V116" s="77">
        <v>0</v>
      </c>
      <c r="W116" s="77">
        <v>0</v>
      </c>
      <c r="X116" s="77">
        <v>0</v>
      </c>
      <c r="Y116" s="77">
        <v>156092.87</v>
      </c>
      <c r="Z116" s="77">
        <f>ROUND(O116*1.5%,2)</f>
        <v>63354.47</v>
      </c>
      <c r="AA116" s="77">
        <v>0</v>
      </c>
      <c r="AB116" s="70">
        <v>2026</v>
      </c>
      <c r="AC116" s="70">
        <v>2026</v>
      </c>
      <c r="AD116" s="70">
        <v>2026</v>
      </c>
    </row>
    <row r="117" spans="1:30" x14ac:dyDescent="0.3">
      <c r="A117">
        <v>1</v>
      </c>
      <c r="B117" s="68">
        <f>SUBTOTAL(9,$A$19:A117)</f>
        <v>87</v>
      </c>
      <c r="C117" s="73" t="s">
        <v>177</v>
      </c>
      <c r="D117" s="79" t="s">
        <v>613</v>
      </c>
      <c r="E117" s="65">
        <f>F117+G117+H117+I117+J117+K117+M117+O117+Q117+S117+U117+V117+W117+X117+Z117+AA117+Y117</f>
        <v>14507526.879999999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155">
        <v>0</v>
      </c>
      <c r="M117" s="77">
        <v>0</v>
      </c>
      <c r="N117" s="72">
        <v>808</v>
      </c>
      <c r="O117" s="72">
        <v>14096085.6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  <c r="U117" s="77">
        <v>0</v>
      </c>
      <c r="V117" s="77">
        <v>0</v>
      </c>
      <c r="W117" s="77">
        <v>0</v>
      </c>
      <c r="X117" s="77">
        <v>0</v>
      </c>
      <c r="Y117" s="77">
        <v>200000</v>
      </c>
      <c r="Z117" s="77">
        <f>ROUND(O117*1.5%,2)</f>
        <v>211441.28</v>
      </c>
      <c r="AA117" s="77">
        <v>0</v>
      </c>
      <c r="AB117" s="70">
        <v>2026</v>
      </c>
      <c r="AC117" s="70">
        <v>2026</v>
      </c>
      <c r="AD117" s="70">
        <v>2026</v>
      </c>
    </row>
    <row r="118" spans="1:30" x14ac:dyDescent="0.3">
      <c r="A118">
        <v>1</v>
      </c>
      <c r="B118" s="68">
        <f>SUBTOTAL(9,$A$19:A118)</f>
        <v>88</v>
      </c>
      <c r="C118" s="73" t="s">
        <v>180</v>
      </c>
      <c r="D118" s="79" t="s">
        <v>613</v>
      </c>
      <c r="E118" s="65">
        <f>F118+G118+H118+I118+J118+K118+M118+O118+Q118+S118+U118+V118+W118+X118+Z118+AA118+Y118</f>
        <v>6284201</v>
      </c>
      <c r="F118" s="77">
        <v>0</v>
      </c>
      <c r="G118" s="77">
        <v>0</v>
      </c>
      <c r="H118" s="77">
        <v>0</v>
      </c>
      <c r="I118" s="77">
        <v>0</v>
      </c>
      <c r="J118" s="77">
        <v>0</v>
      </c>
      <c r="K118" s="77">
        <v>0</v>
      </c>
      <c r="L118" s="155">
        <v>0</v>
      </c>
      <c r="M118" s="77">
        <v>0</v>
      </c>
      <c r="N118" s="72">
        <v>350</v>
      </c>
      <c r="O118" s="72">
        <v>6043547.7800000003</v>
      </c>
      <c r="P118" s="77">
        <v>0</v>
      </c>
      <c r="Q118" s="77">
        <v>0</v>
      </c>
      <c r="R118" s="77">
        <v>0</v>
      </c>
      <c r="S118" s="77">
        <v>0</v>
      </c>
      <c r="T118" s="77">
        <v>0</v>
      </c>
      <c r="U118" s="77">
        <v>0</v>
      </c>
      <c r="V118" s="77">
        <v>0</v>
      </c>
      <c r="W118" s="77">
        <v>0</v>
      </c>
      <c r="X118" s="77">
        <v>0</v>
      </c>
      <c r="Y118" s="77">
        <v>150000</v>
      </c>
      <c r="Z118" s="77">
        <f>ROUND(O118*1.5%,2)</f>
        <v>90653.22</v>
      </c>
      <c r="AA118" s="77">
        <v>0</v>
      </c>
      <c r="AB118" s="70">
        <v>2026</v>
      </c>
      <c r="AC118" s="70">
        <v>2026</v>
      </c>
      <c r="AD118" s="70">
        <v>2026</v>
      </c>
    </row>
    <row r="119" spans="1:30" x14ac:dyDescent="0.3">
      <c r="B119" s="62" t="s">
        <v>688</v>
      </c>
      <c r="C119" s="62"/>
      <c r="D119" s="86"/>
      <c r="E119" s="5">
        <f>E120+E121+E122+E123</f>
        <v>59468472.069999993</v>
      </c>
      <c r="F119" s="5">
        <f t="shared" ref="F119:AA119" si="24">F120+F121+F122+F123</f>
        <v>0</v>
      </c>
      <c r="G119" s="5">
        <f t="shared" si="24"/>
        <v>0</v>
      </c>
      <c r="H119" s="5">
        <f t="shared" si="24"/>
        <v>0</v>
      </c>
      <c r="I119" s="5">
        <f t="shared" si="24"/>
        <v>0</v>
      </c>
      <c r="J119" s="5">
        <f t="shared" si="24"/>
        <v>0</v>
      </c>
      <c r="K119" s="5">
        <f t="shared" si="24"/>
        <v>0</v>
      </c>
      <c r="L119" s="62">
        <f t="shared" si="24"/>
        <v>0</v>
      </c>
      <c r="M119" s="5">
        <f t="shared" si="24"/>
        <v>0</v>
      </c>
      <c r="N119" s="5">
        <f t="shared" si="24"/>
        <v>2546.4899999999998</v>
      </c>
      <c r="O119" s="5">
        <f t="shared" si="24"/>
        <v>32636726.34</v>
      </c>
      <c r="P119" s="5">
        <f t="shared" si="24"/>
        <v>0</v>
      </c>
      <c r="Q119" s="5">
        <f t="shared" si="24"/>
        <v>0</v>
      </c>
      <c r="R119" s="5">
        <f t="shared" si="24"/>
        <v>1266.57</v>
      </c>
      <c r="S119" s="5">
        <f t="shared" si="24"/>
        <v>13937457.370000001</v>
      </c>
      <c r="T119" s="5">
        <f t="shared" si="24"/>
        <v>132.81</v>
      </c>
      <c r="U119" s="5">
        <f t="shared" si="24"/>
        <v>10389828.18</v>
      </c>
      <c r="V119" s="5">
        <f t="shared" si="24"/>
        <v>0</v>
      </c>
      <c r="W119" s="5">
        <f t="shared" si="24"/>
        <v>0</v>
      </c>
      <c r="X119" s="5">
        <f t="shared" si="24"/>
        <v>0</v>
      </c>
      <c r="Y119" s="5">
        <f t="shared" si="24"/>
        <v>1650000</v>
      </c>
      <c r="Z119" s="5">
        <f t="shared" si="24"/>
        <v>854460.18</v>
      </c>
      <c r="AA119" s="5">
        <f t="shared" si="24"/>
        <v>0</v>
      </c>
      <c r="AB119" s="66" t="s">
        <v>423</v>
      </c>
      <c r="AC119" s="66" t="s">
        <v>423</v>
      </c>
      <c r="AD119" s="66" t="s">
        <v>423</v>
      </c>
    </row>
    <row r="120" spans="1:30" x14ac:dyDescent="0.3">
      <c r="A120">
        <v>1</v>
      </c>
      <c r="B120" s="68">
        <f>SUBTOTAL(9,$A$19:A120)</f>
        <v>89</v>
      </c>
      <c r="C120" s="73" t="s">
        <v>590</v>
      </c>
      <c r="D120" s="79" t="s">
        <v>614</v>
      </c>
      <c r="E120" s="65">
        <f>F120+G120+H120+I120+J120+K120+M120+O120+Q120+S120+U120+V120+W120+X120+Z120+AA120+Y120</f>
        <v>9891909.9899999984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155">
        <v>0</v>
      </c>
      <c r="M120" s="77">
        <v>0</v>
      </c>
      <c r="N120" s="72">
        <v>900</v>
      </c>
      <c r="O120" s="72">
        <v>9548679.7899999991</v>
      </c>
      <c r="P120" s="77">
        <v>0</v>
      </c>
      <c r="Q120" s="77">
        <v>0</v>
      </c>
      <c r="R120" s="77">
        <v>0</v>
      </c>
      <c r="S120" s="77">
        <v>0</v>
      </c>
      <c r="T120" s="77">
        <v>0</v>
      </c>
      <c r="U120" s="77">
        <v>0</v>
      </c>
      <c r="V120" s="77">
        <v>0</v>
      </c>
      <c r="W120" s="77">
        <v>0</v>
      </c>
      <c r="X120" s="77">
        <v>0</v>
      </c>
      <c r="Y120" s="77">
        <v>200000</v>
      </c>
      <c r="Z120" s="77">
        <f>ROUND(O120*1.5%,2)</f>
        <v>143230.20000000001</v>
      </c>
      <c r="AA120" s="77">
        <v>0</v>
      </c>
      <c r="AB120" s="70">
        <v>2026</v>
      </c>
      <c r="AC120" s="70">
        <v>2026</v>
      </c>
      <c r="AD120" s="70">
        <v>2026</v>
      </c>
    </row>
    <row r="121" spans="1:30" x14ac:dyDescent="0.3">
      <c r="A121">
        <v>1</v>
      </c>
      <c r="B121" s="68">
        <f>SUBTOTAL(9,$A$19:A121)</f>
        <v>90</v>
      </c>
      <c r="C121" s="73" t="s">
        <v>689</v>
      </c>
      <c r="D121" s="79" t="s">
        <v>614</v>
      </c>
      <c r="E121" s="65">
        <f>F121+G121+H121+I121+J121+K121+M121+O121+Q121+S121+U121+V121+W121+X121+Z121+AA121+Y121</f>
        <v>7054362.0999999996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155">
        <v>0</v>
      </c>
      <c r="M121" s="77">
        <v>0</v>
      </c>
      <c r="N121" s="72">
        <v>698</v>
      </c>
      <c r="O121" s="72">
        <v>6703805.0199999996</v>
      </c>
      <c r="P121" s="77">
        <v>0</v>
      </c>
      <c r="Q121" s="77">
        <v>0</v>
      </c>
      <c r="R121" s="77">
        <v>0</v>
      </c>
      <c r="S121" s="77">
        <v>0</v>
      </c>
      <c r="T121" s="77">
        <v>0</v>
      </c>
      <c r="U121" s="77">
        <v>0</v>
      </c>
      <c r="V121" s="77">
        <v>0</v>
      </c>
      <c r="W121" s="77">
        <v>0</v>
      </c>
      <c r="X121" s="77">
        <v>0</v>
      </c>
      <c r="Y121" s="77">
        <v>250000</v>
      </c>
      <c r="Z121" s="77">
        <f>ROUND(O121*1.5%,2)</f>
        <v>100557.08</v>
      </c>
      <c r="AA121" s="77">
        <v>0</v>
      </c>
      <c r="AB121" s="70">
        <v>2026</v>
      </c>
      <c r="AC121" s="70">
        <v>2026</v>
      </c>
      <c r="AD121" s="70">
        <v>2026</v>
      </c>
    </row>
    <row r="122" spans="1:30" x14ac:dyDescent="0.3">
      <c r="A122">
        <v>1</v>
      </c>
      <c r="B122" s="68">
        <f>SUBTOTAL(9,$A$19:A122)</f>
        <v>91</v>
      </c>
      <c r="C122" s="73" t="s">
        <v>720</v>
      </c>
      <c r="D122" s="79" t="s">
        <v>614</v>
      </c>
      <c r="E122" s="65">
        <f t="shared" ref="E122:E123" si="25">F122+G122+H122+I122+J122+K122+M122+O122+Q122+S122+U122+V122+W122+X122+Z122+AA122+Y122</f>
        <v>23105714.419999998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155">
        <v>0</v>
      </c>
      <c r="M122" s="77">
        <v>0</v>
      </c>
      <c r="N122" s="72">
        <v>555.6</v>
      </c>
      <c r="O122" s="72">
        <v>9631251.4399999995</v>
      </c>
      <c r="P122" s="77">
        <v>0</v>
      </c>
      <c r="Q122" s="77">
        <v>0</v>
      </c>
      <c r="R122" s="77">
        <v>651.91</v>
      </c>
      <c r="S122" s="77">
        <v>7184961.96</v>
      </c>
      <c r="T122" s="77">
        <v>68.400000000000006</v>
      </c>
      <c r="U122" s="77">
        <v>5356904.26</v>
      </c>
      <c r="V122" s="77">
        <v>0</v>
      </c>
      <c r="W122" s="77">
        <v>0</v>
      </c>
      <c r="X122" s="77">
        <v>0</v>
      </c>
      <c r="Y122" s="77">
        <v>600000</v>
      </c>
      <c r="Z122" s="77">
        <f>ROUND(O122*1.5%,2)+ROUND(S122*1.5%,2)+ROUND(U122*1.5%,2)</f>
        <v>332596.76</v>
      </c>
      <c r="AA122" s="77">
        <v>0</v>
      </c>
      <c r="AB122" s="70">
        <v>2026</v>
      </c>
      <c r="AC122" s="70">
        <v>2026</v>
      </c>
      <c r="AD122" s="70">
        <v>2026</v>
      </c>
    </row>
    <row r="123" spans="1:30" x14ac:dyDescent="0.3">
      <c r="A123">
        <v>1</v>
      </c>
      <c r="B123" s="68">
        <f>SUBTOTAL(9,$A$19:A123)</f>
        <v>92</v>
      </c>
      <c r="C123" s="73" t="s">
        <v>721</v>
      </c>
      <c r="D123" s="79" t="s">
        <v>614</v>
      </c>
      <c r="E123" s="65">
        <f t="shared" si="25"/>
        <v>19416485.560000002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155">
        <v>0</v>
      </c>
      <c r="M123" s="77">
        <v>0</v>
      </c>
      <c r="N123" s="72">
        <v>392.89</v>
      </c>
      <c r="O123" s="72">
        <v>6752990.0899999999</v>
      </c>
      <c r="P123" s="77">
        <v>0</v>
      </c>
      <c r="Q123" s="77">
        <v>0</v>
      </c>
      <c r="R123" s="77">
        <v>614.66</v>
      </c>
      <c r="S123" s="77">
        <v>6752495.4100000001</v>
      </c>
      <c r="T123" s="77">
        <v>64.41</v>
      </c>
      <c r="U123" s="77">
        <v>5032923.92</v>
      </c>
      <c r="V123" s="77">
        <v>0</v>
      </c>
      <c r="W123" s="77">
        <v>0</v>
      </c>
      <c r="X123" s="77">
        <v>0</v>
      </c>
      <c r="Y123" s="77">
        <v>600000</v>
      </c>
      <c r="Z123" s="77">
        <f>ROUND(O123*1.5%,2)+ROUND(S123*1.5%,2)+ROUND(U123*1.5%,2)</f>
        <v>278076.14</v>
      </c>
      <c r="AA123" s="77">
        <v>0</v>
      </c>
      <c r="AB123" s="70">
        <v>2026</v>
      </c>
      <c r="AC123" s="70">
        <v>2026</v>
      </c>
      <c r="AD123" s="70">
        <v>2026</v>
      </c>
    </row>
    <row r="124" spans="1:30" x14ac:dyDescent="0.3">
      <c r="B124" s="62" t="s">
        <v>693</v>
      </c>
      <c r="C124" s="62"/>
      <c r="D124" s="86"/>
      <c r="E124" s="5">
        <f>E125+E126+E127+E128</f>
        <v>55312672.939999998</v>
      </c>
      <c r="F124" s="5">
        <f t="shared" ref="F124:AA124" si="26">F125+F126+F127+F128</f>
        <v>0</v>
      </c>
      <c r="G124" s="5">
        <f t="shared" si="26"/>
        <v>0</v>
      </c>
      <c r="H124" s="5">
        <f t="shared" si="26"/>
        <v>0</v>
      </c>
      <c r="I124" s="5">
        <f t="shared" si="26"/>
        <v>0</v>
      </c>
      <c r="J124" s="5">
        <f t="shared" si="26"/>
        <v>0</v>
      </c>
      <c r="K124" s="5">
        <f t="shared" si="26"/>
        <v>0</v>
      </c>
      <c r="L124" s="62">
        <f t="shared" si="26"/>
        <v>0</v>
      </c>
      <c r="M124" s="5">
        <f t="shared" si="26"/>
        <v>0</v>
      </c>
      <c r="N124" s="5">
        <f t="shared" si="26"/>
        <v>4419.28</v>
      </c>
      <c r="O124" s="5">
        <f t="shared" si="26"/>
        <v>53620845.539999992</v>
      </c>
      <c r="P124" s="5">
        <f t="shared" si="26"/>
        <v>0</v>
      </c>
      <c r="Q124" s="5">
        <f t="shared" si="26"/>
        <v>0</v>
      </c>
      <c r="R124" s="5">
        <f t="shared" si="26"/>
        <v>0</v>
      </c>
      <c r="S124" s="5">
        <f t="shared" si="26"/>
        <v>0</v>
      </c>
      <c r="T124" s="5">
        <f t="shared" si="26"/>
        <v>0</v>
      </c>
      <c r="U124" s="5">
        <f t="shared" si="26"/>
        <v>0</v>
      </c>
      <c r="V124" s="5">
        <f t="shared" si="26"/>
        <v>0</v>
      </c>
      <c r="W124" s="5">
        <f t="shared" si="26"/>
        <v>0</v>
      </c>
      <c r="X124" s="5">
        <f t="shared" si="26"/>
        <v>0</v>
      </c>
      <c r="Y124" s="5">
        <f t="shared" si="26"/>
        <v>887514.71</v>
      </c>
      <c r="Z124" s="5">
        <f t="shared" si="26"/>
        <v>804312.69000000006</v>
      </c>
      <c r="AA124" s="5">
        <f t="shared" si="26"/>
        <v>0</v>
      </c>
      <c r="AB124" s="66" t="s">
        <v>423</v>
      </c>
      <c r="AC124" s="66" t="s">
        <v>423</v>
      </c>
      <c r="AD124" s="66" t="s">
        <v>423</v>
      </c>
    </row>
    <row r="125" spans="1:30" x14ac:dyDescent="0.3">
      <c r="A125">
        <v>1</v>
      </c>
      <c r="B125" s="68">
        <f>SUBTOTAL(9,$A$19:A125)</f>
        <v>93</v>
      </c>
      <c r="C125" s="73" t="s">
        <v>184</v>
      </c>
      <c r="D125" s="79" t="s">
        <v>615</v>
      </c>
      <c r="E125" s="65">
        <f>F125+G125+H125+I125+J125+K125+M125+O125+Q125+S125+U125+V125+W125+X125+Z125+AA125+Y125</f>
        <v>11643636.340000002</v>
      </c>
      <c r="F125" s="77"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155">
        <v>0</v>
      </c>
      <c r="M125" s="77">
        <v>0</v>
      </c>
      <c r="N125" s="72">
        <v>900.28</v>
      </c>
      <c r="O125" s="72">
        <v>11255916.370000001</v>
      </c>
      <c r="P125" s="77">
        <v>0</v>
      </c>
      <c r="Q125" s="77">
        <v>0</v>
      </c>
      <c r="R125" s="77">
        <v>0</v>
      </c>
      <c r="S125" s="77">
        <v>0</v>
      </c>
      <c r="T125" s="77">
        <v>0</v>
      </c>
      <c r="U125" s="77">
        <v>0</v>
      </c>
      <c r="V125" s="77">
        <v>0</v>
      </c>
      <c r="W125" s="77">
        <v>0</v>
      </c>
      <c r="X125" s="77">
        <v>0</v>
      </c>
      <c r="Y125" s="72">
        <v>218881.22</v>
      </c>
      <c r="Z125" s="77">
        <f>ROUND(O125*1.5%,2)</f>
        <v>168838.75</v>
      </c>
      <c r="AA125" s="77">
        <v>0</v>
      </c>
      <c r="AB125" s="70">
        <v>2026</v>
      </c>
      <c r="AC125" s="70">
        <v>2026</v>
      </c>
      <c r="AD125" s="70">
        <v>2026</v>
      </c>
    </row>
    <row r="126" spans="1:30" x14ac:dyDescent="0.3">
      <c r="A126">
        <v>1</v>
      </c>
      <c r="B126" s="68">
        <f>SUBTOTAL(9,$A$19:A126)</f>
        <v>94</v>
      </c>
      <c r="C126" s="73" t="s">
        <v>185</v>
      </c>
      <c r="D126" s="79" t="s">
        <v>615</v>
      </c>
      <c r="E126" s="65">
        <f>F126+G126+H126+I126+J126+K126+M126+O126+Q126+S126+U126+V126+W126+X126+Z126+AA126+Y126</f>
        <v>21022108.559999995</v>
      </c>
      <c r="F126" s="77">
        <v>0</v>
      </c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155">
        <v>0</v>
      </c>
      <c r="M126" s="77">
        <v>0</v>
      </c>
      <c r="N126" s="72">
        <v>1656</v>
      </c>
      <c r="O126" s="72">
        <v>20255308.409999996</v>
      </c>
      <c r="P126" s="77">
        <v>0</v>
      </c>
      <c r="Q126" s="77">
        <v>0</v>
      </c>
      <c r="R126" s="77">
        <v>0</v>
      </c>
      <c r="S126" s="77">
        <v>0</v>
      </c>
      <c r="T126" s="77">
        <v>0</v>
      </c>
      <c r="U126" s="77">
        <v>0</v>
      </c>
      <c r="V126" s="77">
        <v>0</v>
      </c>
      <c r="W126" s="77">
        <v>0</v>
      </c>
      <c r="X126" s="77">
        <v>0</v>
      </c>
      <c r="Y126" s="72">
        <v>462970.52</v>
      </c>
      <c r="Z126" s="77">
        <f>ROUND(O126*1.5%,2)</f>
        <v>303829.63</v>
      </c>
      <c r="AA126" s="77">
        <v>0</v>
      </c>
      <c r="AB126" s="70">
        <v>2026</v>
      </c>
      <c r="AC126" s="70">
        <v>2026</v>
      </c>
      <c r="AD126" s="70">
        <v>2026</v>
      </c>
    </row>
    <row r="127" spans="1:30" x14ac:dyDescent="0.3">
      <c r="A127">
        <v>1</v>
      </c>
      <c r="B127" s="68">
        <f>SUBTOTAL(9,$A$19:A127)</f>
        <v>95</v>
      </c>
      <c r="C127" s="73" t="s">
        <v>597</v>
      </c>
      <c r="D127" s="79" t="s">
        <v>615</v>
      </c>
      <c r="E127" s="65">
        <f>F127+G127+H127+I127+J127+K127+M127+O127+Q127+S127+U127+V127+W127+X127+Z127+AA127+Y127</f>
        <v>7527766.6299999999</v>
      </c>
      <c r="F127" s="77">
        <v>0</v>
      </c>
      <c r="G127" s="77">
        <v>0</v>
      </c>
      <c r="H127" s="77">
        <v>0</v>
      </c>
      <c r="I127" s="77">
        <v>0</v>
      </c>
      <c r="J127" s="77">
        <v>0</v>
      </c>
      <c r="K127" s="77">
        <v>0</v>
      </c>
      <c r="L127" s="155">
        <v>0</v>
      </c>
      <c r="M127" s="77">
        <v>0</v>
      </c>
      <c r="N127" s="72">
        <v>672</v>
      </c>
      <c r="O127" s="72">
        <f>7010690+405828.85</f>
        <v>7416518.8499999996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  <c r="W127" s="77">
        <v>0</v>
      </c>
      <c r="X127" s="77">
        <v>0</v>
      </c>
      <c r="Y127" s="72">
        <v>0</v>
      </c>
      <c r="Z127" s="77">
        <f>ROUND(O127*1.5%,2)</f>
        <v>111247.78</v>
      </c>
      <c r="AA127" s="77">
        <v>0</v>
      </c>
      <c r="AB127" s="66" t="s">
        <v>426</v>
      </c>
      <c r="AC127" s="70">
        <v>2026</v>
      </c>
      <c r="AD127" s="70">
        <v>2026</v>
      </c>
    </row>
    <row r="128" spans="1:30" x14ac:dyDescent="0.3">
      <c r="A128">
        <v>1</v>
      </c>
      <c r="B128" s="68">
        <f>SUBTOTAL(9,$A$19:A128)</f>
        <v>96</v>
      </c>
      <c r="C128" s="73" t="s">
        <v>186</v>
      </c>
      <c r="D128" s="79" t="s">
        <v>615</v>
      </c>
      <c r="E128" s="65">
        <f>F128+G128+H128+I128+J128+K128+M128+O128+Q128+S128+U128+V128+W128+X128+Z128+AA128+Y128</f>
        <v>15119161.41</v>
      </c>
      <c r="F128" s="77">
        <v>0</v>
      </c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155">
        <v>0</v>
      </c>
      <c r="M128" s="77">
        <v>0</v>
      </c>
      <c r="N128" s="72">
        <v>1191</v>
      </c>
      <c r="O128" s="72">
        <v>14693101.91</v>
      </c>
      <c r="P128" s="77">
        <v>0</v>
      </c>
      <c r="Q128" s="77">
        <v>0</v>
      </c>
      <c r="R128" s="77">
        <v>0</v>
      </c>
      <c r="S128" s="77">
        <v>0</v>
      </c>
      <c r="T128" s="77">
        <v>0</v>
      </c>
      <c r="U128" s="77">
        <v>0</v>
      </c>
      <c r="V128" s="77">
        <v>0</v>
      </c>
      <c r="W128" s="77">
        <v>0</v>
      </c>
      <c r="X128" s="77">
        <v>0</v>
      </c>
      <c r="Y128" s="72">
        <v>205662.97</v>
      </c>
      <c r="Z128" s="77">
        <f>ROUND(O128*1.5%,2)</f>
        <v>220396.53</v>
      </c>
      <c r="AA128" s="77">
        <v>0</v>
      </c>
      <c r="AB128" s="70">
        <v>2026</v>
      </c>
      <c r="AC128" s="70">
        <v>2026</v>
      </c>
      <c r="AD128" s="70">
        <v>2026</v>
      </c>
    </row>
    <row r="129" spans="1:31" x14ac:dyDescent="0.3">
      <c r="B129" s="62" t="s">
        <v>699</v>
      </c>
      <c r="C129" s="62"/>
      <c r="D129" s="86"/>
      <c r="E129" s="5">
        <f>E130+E131+E132+E133</f>
        <v>36548320.950000003</v>
      </c>
      <c r="F129" s="5">
        <f t="shared" ref="F129:AA129" si="27">F130+F131+F132+F133</f>
        <v>0</v>
      </c>
      <c r="G129" s="5">
        <f t="shared" si="27"/>
        <v>0</v>
      </c>
      <c r="H129" s="5">
        <f t="shared" si="27"/>
        <v>0</v>
      </c>
      <c r="I129" s="5">
        <f t="shared" si="27"/>
        <v>0</v>
      </c>
      <c r="J129" s="5">
        <f t="shared" si="27"/>
        <v>0</v>
      </c>
      <c r="K129" s="5">
        <f t="shared" si="27"/>
        <v>0</v>
      </c>
      <c r="L129" s="62">
        <f t="shared" si="27"/>
        <v>0</v>
      </c>
      <c r="M129" s="5">
        <f t="shared" si="27"/>
        <v>0</v>
      </c>
      <c r="N129" s="5">
        <f t="shared" si="27"/>
        <v>2323</v>
      </c>
      <c r="O129" s="5">
        <f t="shared" si="27"/>
        <v>28476432.490000002</v>
      </c>
      <c r="P129" s="5">
        <f t="shared" si="27"/>
        <v>0</v>
      </c>
      <c r="Q129" s="5">
        <f t="shared" si="27"/>
        <v>0</v>
      </c>
      <c r="R129" s="5">
        <f t="shared" si="27"/>
        <v>631.29999999999995</v>
      </c>
      <c r="S129" s="5">
        <f t="shared" si="27"/>
        <v>6940632.4900000002</v>
      </c>
      <c r="T129" s="5">
        <f t="shared" si="27"/>
        <v>0</v>
      </c>
      <c r="U129" s="5">
        <f t="shared" si="27"/>
        <v>0</v>
      </c>
      <c r="V129" s="5">
        <f t="shared" si="27"/>
        <v>0</v>
      </c>
      <c r="W129" s="5">
        <f t="shared" si="27"/>
        <v>0</v>
      </c>
      <c r="X129" s="5">
        <f t="shared" si="27"/>
        <v>0</v>
      </c>
      <c r="Y129" s="5">
        <f t="shared" si="27"/>
        <v>600000</v>
      </c>
      <c r="Z129" s="5">
        <f t="shared" si="27"/>
        <v>531255.97</v>
      </c>
      <c r="AA129" s="5">
        <f t="shared" si="27"/>
        <v>0</v>
      </c>
      <c r="AB129" s="66" t="s">
        <v>423</v>
      </c>
      <c r="AC129" s="66" t="s">
        <v>423</v>
      </c>
      <c r="AD129" s="66" t="s">
        <v>423</v>
      </c>
    </row>
    <row r="130" spans="1:31" x14ac:dyDescent="0.3">
      <c r="A130">
        <v>1</v>
      </c>
      <c r="B130" s="68">
        <f>SUBTOTAL(9,$A$19:A130)</f>
        <v>97</v>
      </c>
      <c r="C130" s="73" t="s">
        <v>596</v>
      </c>
      <c r="D130" s="79" t="s">
        <v>616</v>
      </c>
      <c r="E130" s="65">
        <f>F130+G130+H130+I130+J130+K130+M130+O130+Q130+S130+U130+V130+W130+X130+Z130+AA130+Y130</f>
        <v>11569348.5</v>
      </c>
      <c r="F130" s="77">
        <v>0</v>
      </c>
      <c r="G130" s="77">
        <v>0</v>
      </c>
      <c r="H130" s="77">
        <v>0</v>
      </c>
      <c r="I130" s="77">
        <v>0</v>
      </c>
      <c r="J130" s="77">
        <v>0</v>
      </c>
      <c r="K130" s="77">
        <v>0</v>
      </c>
      <c r="L130" s="155">
        <v>0</v>
      </c>
      <c r="M130" s="77">
        <v>0</v>
      </c>
      <c r="N130" s="71">
        <v>926</v>
      </c>
      <c r="O130" s="72">
        <v>11398372.91</v>
      </c>
      <c r="P130" s="77">
        <v>0</v>
      </c>
      <c r="Q130" s="77">
        <v>0</v>
      </c>
      <c r="R130" s="77">
        <v>0</v>
      </c>
      <c r="S130" s="77">
        <v>0</v>
      </c>
      <c r="T130" s="77">
        <v>0</v>
      </c>
      <c r="U130" s="77">
        <v>0</v>
      </c>
      <c r="V130" s="77">
        <v>0</v>
      </c>
      <c r="W130" s="77">
        <v>0</v>
      </c>
      <c r="X130" s="77">
        <v>0</v>
      </c>
      <c r="Y130" s="77">
        <v>0</v>
      </c>
      <c r="Z130" s="77">
        <f>ROUND(O130*1.5%,2)</f>
        <v>170975.59</v>
      </c>
      <c r="AA130" s="77">
        <v>0</v>
      </c>
      <c r="AB130" s="70" t="s">
        <v>426</v>
      </c>
      <c r="AC130" s="70">
        <v>2026</v>
      </c>
      <c r="AD130" s="70">
        <v>2026</v>
      </c>
    </row>
    <row r="131" spans="1:31" x14ac:dyDescent="0.3">
      <c r="A131">
        <v>1</v>
      </c>
      <c r="B131" s="68">
        <f>SUBTOTAL(9,$A$19:A131)</f>
        <v>98</v>
      </c>
      <c r="C131" s="73" t="s">
        <v>199</v>
      </c>
      <c r="D131" s="79" t="s">
        <v>616</v>
      </c>
      <c r="E131" s="65">
        <f t="shared" ref="E131:E132" si="28">F131+G131+H131+I131+J131+K131+M131+O131+Q131+S131+U131+V131+W131+X131+Z131+AA131+Y131</f>
        <v>4087632.2199999997</v>
      </c>
      <c r="F131" s="77">
        <v>0</v>
      </c>
      <c r="G131" s="77">
        <v>0</v>
      </c>
      <c r="H131" s="77">
        <v>0</v>
      </c>
      <c r="I131" s="77">
        <v>0</v>
      </c>
      <c r="J131" s="77">
        <v>0</v>
      </c>
      <c r="K131" s="77">
        <v>0</v>
      </c>
      <c r="L131" s="155">
        <v>0</v>
      </c>
      <c r="M131" s="77">
        <v>0</v>
      </c>
      <c r="N131" s="71">
        <v>322</v>
      </c>
      <c r="O131" s="72">
        <v>3830179.53</v>
      </c>
      <c r="P131" s="77">
        <v>0</v>
      </c>
      <c r="Q131" s="77">
        <v>0</v>
      </c>
      <c r="R131" s="77">
        <v>0</v>
      </c>
      <c r="S131" s="77">
        <v>0</v>
      </c>
      <c r="T131" s="77">
        <v>0</v>
      </c>
      <c r="U131" s="77">
        <v>0</v>
      </c>
      <c r="V131" s="77">
        <v>0</v>
      </c>
      <c r="W131" s="77">
        <v>0</v>
      </c>
      <c r="X131" s="77">
        <v>0</v>
      </c>
      <c r="Y131" s="77">
        <v>200000</v>
      </c>
      <c r="Z131" s="77">
        <f t="shared" ref="Z131:Z132" si="29">ROUND(O131*1.5%,2)</f>
        <v>57452.69</v>
      </c>
      <c r="AA131" s="77">
        <v>0</v>
      </c>
      <c r="AB131" s="70">
        <v>2026</v>
      </c>
      <c r="AC131" s="70">
        <v>2026</v>
      </c>
      <c r="AD131" s="70">
        <v>2026</v>
      </c>
    </row>
    <row r="132" spans="1:31" x14ac:dyDescent="0.3">
      <c r="A132">
        <v>1</v>
      </c>
      <c r="B132" s="68">
        <f>SUBTOTAL(9,$A$19:A132)</f>
        <v>99</v>
      </c>
      <c r="C132" s="73" t="s">
        <v>200</v>
      </c>
      <c r="D132" s="79" t="s">
        <v>616</v>
      </c>
      <c r="E132" s="65">
        <f t="shared" si="28"/>
        <v>13646598.25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0</v>
      </c>
      <c r="L132" s="155">
        <v>0</v>
      </c>
      <c r="M132" s="77">
        <v>0</v>
      </c>
      <c r="N132" s="71">
        <v>1075</v>
      </c>
      <c r="O132" s="72">
        <v>13247880.050000001</v>
      </c>
      <c r="P132" s="77">
        <v>0</v>
      </c>
      <c r="Q132" s="77">
        <v>0</v>
      </c>
      <c r="R132" s="77">
        <v>0</v>
      </c>
      <c r="S132" s="77">
        <v>0</v>
      </c>
      <c r="T132" s="77">
        <v>0</v>
      </c>
      <c r="U132" s="77">
        <v>0</v>
      </c>
      <c r="V132" s="77">
        <v>0</v>
      </c>
      <c r="W132" s="77">
        <v>0</v>
      </c>
      <c r="X132" s="77">
        <v>0</v>
      </c>
      <c r="Y132" s="77">
        <v>200000</v>
      </c>
      <c r="Z132" s="77">
        <f t="shared" si="29"/>
        <v>198718.2</v>
      </c>
      <c r="AA132" s="77">
        <v>0</v>
      </c>
      <c r="AB132" s="70">
        <v>2026</v>
      </c>
      <c r="AC132" s="70">
        <v>2026</v>
      </c>
      <c r="AD132" s="70">
        <v>2026</v>
      </c>
    </row>
    <row r="133" spans="1:31" x14ac:dyDescent="0.3">
      <c r="A133">
        <v>1</v>
      </c>
      <c r="B133" s="68">
        <f>SUBTOTAL(9,$A$19:A133)</f>
        <v>100</v>
      </c>
      <c r="C133" s="73" t="s">
        <v>201</v>
      </c>
      <c r="D133" s="79" t="s">
        <v>616</v>
      </c>
      <c r="E133" s="65">
        <f>F133+G133+H133+I133+J133+K133+M133+O133+Q133+S133+U133+V133+W133+X133+Z133+AA133+Y133</f>
        <v>7244741.9800000004</v>
      </c>
      <c r="F133" s="77">
        <v>0</v>
      </c>
      <c r="G133" s="77">
        <v>0</v>
      </c>
      <c r="H133" s="77">
        <v>0</v>
      </c>
      <c r="I133" s="77">
        <v>0</v>
      </c>
      <c r="J133" s="77">
        <v>0</v>
      </c>
      <c r="K133" s="77">
        <v>0</v>
      </c>
      <c r="L133" s="155">
        <v>0</v>
      </c>
      <c r="M133" s="77">
        <v>0</v>
      </c>
      <c r="N133" s="71">
        <v>0</v>
      </c>
      <c r="O133" s="72">
        <v>0</v>
      </c>
      <c r="P133" s="77">
        <v>0</v>
      </c>
      <c r="Q133" s="77">
        <v>0</v>
      </c>
      <c r="R133" s="71">
        <v>631.29999999999995</v>
      </c>
      <c r="S133" s="72">
        <v>6940632.4900000002</v>
      </c>
      <c r="T133" s="77">
        <v>0</v>
      </c>
      <c r="U133" s="77">
        <v>0</v>
      </c>
      <c r="V133" s="77">
        <v>0</v>
      </c>
      <c r="W133" s="77">
        <v>0</v>
      </c>
      <c r="X133" s="77">
        <v>0</v>
      </c>
      <c r="Y133" s="77">
        <v>200000</v>
      </c>
      <c r="Z133" s="77">
        <f>ROUND(S133*1.5%,2)</f>
        <v>104109.49</v>
      </c>
      <c r="AA133" s="77">
        <v>0</v>
      </c>
      <c r="AB133" s="70">
        <v>2026</v>
      </c>
      <c r="AC133" s="70">
        <v>2026</v>
      </c>
      <c r="AD133" s="70">
        <v>2026</v>
      </c>
    </row>
    <row r="134" spans="1:31" x14ac:dyDescent="0.3">
      <c r="B134" s="62" t="s">
        <v>669</v>
      </c>
      <c r="C134" s="62"/>
      <c r="D134" s="86"/>
      <c r="E134" s="5">
        <f>E135+E136+E137+E138+E139</f>
        <v>29943810.810000002</v>
      </c>
      <c r="F134" s="5">
        <f t="shared" ref="F134:AA134" si="30">F135+F136+F137+F138+F139</f>
        <v>0</v>
      </c>
      <c r="G134" s="5">
        <f t="shared" si="30"/>
        <v>0</v>
      </c>
      <c r="H134" s="5">
        <f t="shared" si="30"/>
        <v>0</v>
      </c>
      <c r="I134" s="5">
        <f t="shared" si="30"/>
        <v>0</v>
      </c>
      <c r="J134" s="5">
        <f t="shared" si="30"/>
        <v>0</v>
      </c>
      <c r="K134" s="5">
        <f t="shared" si="30"/>
        <v>0</v>
      </c>
      <c r="L134" s="155">
        <f t="shared" si="30"/>
        <v>0</v>
      </c>
      <c r="M134" s="5">
        <f t="shared" si="30"/>
        <v>0</v>
      </c>
      <c r="N134" s="5">
        <f t="shared" si="30"/>
        <v>2553.9</v>
      </c>
      <c r="O134" s="5">
        <f t="shared" si="30"/>
        <v>29058189.480000004</v>
      </c>
      <c r="P134" s="5">
        <f t="shared" si="30"/>
        <v>0</v>
      </c>
      <c r="Q134" s="5">
        <f t="shared" si="30"/>
        <v>0</v>
      </c>
      <c r="R134" s="5">
        <f t="shared" si="30"/>
        <v>0</v>
      </c>
      <c r="S134" s="5">
        <f t="shared" si="30"/>
        <v>0</v>
      </c>
      <c r="T134" s="5">
        <f t="shared" si="30"/>
        <v>0</v>
      </c>
      <c r="U134" s="5">
        <f t="shared" si="30"/>
        <v>0</v>
      </c>
      <c r="V134" s="5">
        <f t="shared" si="30"/>
        <v>0</v>
      </c>
      <c r="W134" s="5">
        <f t="shared" si="30"/>
        <v>0</v>
      </c>
      <c r="X134" s="5">
        <f t="shared" si="30"/>
        <v>0</v>
      </c>
      <c r="Y134" s="5">
        <f t="shared" si="30"/>
        <v>450000</v>
      </c>
      <c r="Z134" s="5">
        <f t="shared" si="30"/>
        <v>435621.33</v>
      </c>
      <c r="AA134" s="5">
        <f t="shared" si="30"/>
        <v>0</v>
      </c>
      <c r="AB134" s="66" t="s">
        <v>423</v>
      </c>
      <c r="AC134" s="66" t="s">
        <v>423</v>
      </c>
      <c r="AD134" s="66" t="s">
        <v>423</v>
      </c>
    </row>
    <row r="135" spans="1:31" x14ac:dyDescent="0.3">
      <c r="A135">
        <v>1</v>
      </c>
      <c r="B135" s="68">
        <f>SUBTOTAL(9,$A$19:A135)</f>
        <v>101</v>
      </c>
      <c r="C135" s="73" t="s">
        <v>209</v>
      </c>
      <c r="D135" s="79" t="s">
        <v>617</v>
      </c>
      <c r="E135" s="65">
        <f t="shared" ref="E135:E139" si="31">F135+G135+H135+I135+J135+K135+M135+O135+Q135+S135+U135+V135+W135+X135+Z135+AA135+Y135</f>
        <v>9262564.3399999999</v>
      </c>
      <c r="F135" s="77">
        <v>0</v>
      </c>
      <c r="G135" s="77">
        <v>0</v>
      </c>
      <c r="H135" s="77">
        <v>0</v>
      </c>
      <c r="I135" s="77">
        <v>0</v>
      </c>
      <c r="J135" s="77">
        <v>0</v>
      </c>
      <c r="K135" s="77">
        <v>0</v>
      </c>
      <c r="L135" s="155">
        <v>0</v>
      </c>
      <c r="M135" s="77">
        <v>0</v>
      </c>
      <c r="N135" s="90">
        <v>835.9</v>
      </c>
      <c r="O135" s="72">
        <v>9125679.1500000004</v>
      </c>
      <c r="P135" s="77">
        <v>0</v>
      </c>
      <c r="Q135" s="77">
        <v>0</v>
      </c>
      <c r="R135" s="77">
        <v>0</v>
      </c>
      <c r="S135" s="77">
        <v>0</v>
      </c>
      <c r="T135" s="77">
        <v>0</v>
      </c>
      <c r="U135" s="77">
        <v>0</v>
      </c>
      <c r="V135" s="77">
        <v>0</v>
      </c>
      <c r="W135" s="77">
        <v>0</v>
      </c>
      <c r="X135" s="77">
        <v>0</v>
      </c>
      <c r="Y135" s="77">
        <v>0</v>
      </c>
      <c r="Z135" s="77">
        <f t="shared" ref="Z135:Z136" si="32">ROUND(O135*1.5%,2)</f>
        <v>136885.19</v>
      </c>
      <c r="AA135" s="77">
        <v>0</v>
      </c>
      <c r="AB135" s="66" t="s">
        <v>426</v>
      </c>
      <c r="AC135" s="70">
        <v>2026</v>
      </c>
      <c r="AD135" s="70">
        <v>2026</v>
      </c>
    </row>
    <row r="136" spans="1:31" x14ac:dyDescent="0.3">
      <c r="A136">
        <v>1</v>
      </c>
      <c r="B136" s="68">
        <f>SUBTOTAL(9,$A$19:A136)</f>
        <v>102</v>
      </c>
      <c r="C136" s="73" t="s">
        <v>210</v>
      </c>
      <c r="D136" s="79" t="s">
        <v>617</v>
      </c>
      <c r="E136" s="65">
        <f t="shared" si="31"/>
        <v>2404045.5299999998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  <c r="K136" s="77">
        <v>0</v>
      </c>
      <c r="L136" s="155">
        <v>0</v>
      </c>
      <c r="M136" s="77">
        <v>0</v>
      </c>
      <c r="N136" s="90">
        <v>235</v>
      </c>
      <c r="O136" s="72">
        <v>2368517.7599999998</v>
      </c>
      <c r="P136" s="77">
        <v>0</v>
      </c>
      <c r="Q136" s="77">
        <v>0</v>
      </c>
      <c r="R136" s="77">
        <v>0</v>
      </c>
      <c r="S136" s="77">
        <v>0</v>
      </c>
      <c r="T136" s="77">
        <v>0</v>
      </c>
      <c r="U136" s="77">
        <v>0</v>
      </c>
      <c r="V136" s="77">
        <v>0</v>
      </c>
      <c r="W136" s="77">
        <v>0</v>
      </c>
      <c r="X136" s="77">
        <v>0</v>
      </c>
      <c r="Y136" s="77">
        <v>0</v>
      </c>
      <c r="Z136" s="77">
        <f t="shared" si="32"/>
        <v>35527.769999999997</v>
      </c>
      <c r="AA136" s="77">
        <v>0</v>
      </c>
      <c r="AB136" s="66" t="s">
        <v>426</v>
      </c>
      <c r="AC136" s="70">
        <v>2026</v>
      </c>
      <c r="AD136" s="70">
        <v>2026</v>
      </c>
    </row>
    <row r="137" spans="1:31" s="82" customFormat="1" x14ac:dyDescent="0.3">
      <c r="A137">
        <v>1</v>
      </c>
      <c r="B137" s="68">
        <f>SUBTOTAL(9,$A$19:A137)</f>
        <v>103</v>
      </c>
      <c r="C137" s="78" t="s">
        <v>606</v>
      </c>
      <c r="D137" s="88" t="s">
        <v>617</v>
      </c>
      <c r="E137" s="72">
        <f t="shared" ref="E137" si="33">F137+G137+H137+I137+J137+K137+M137+O137+Q137+S137+U137+V137+W137+X137+Y137+Z137+AA137</f>
        <v>3403732.66</v>
      </c>
      <c r="F137" s="76">
        <v>0</v>
      </c>
      <c r="G137" s="76">
        <v>0</v>
      </c>
      <c r="H137" s="76">
        <v>0</v>
      </c>
      <c r="I137" s="76">
        <v>0</v>
      </c>
      <c r="J137" s="76">
        <v>0</v>
      </c>
      <c r="K137" s="76">
        <v>0</v>
      </c>
      <c r="L137" s="154">
        <v>0</v>
      </c>
      <c r="M137" s="76">
        <v>0</v>
      </c>
      <c r="N137" s="72">
        <v>300</v>
      </c>
      <c r="O137" s="72">
        <v>3353679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0</v>
      </c>
      <c r="Y137" s="72">
        <v>0</v>
      </c>
      <c r="Z137" s="72">
        <f>ROUND(O137*1.4925%,2)</f>
        <v>50053.66</v>
      </c>
      <c r="AA137" s="76">
        <v>0</v>
      </c>
      <c r="AB137" s="59" t="s">
        <v>426</v>
      </c>
      <c r="AC137" s="59">
        <v>2026</v>
      </c>
      <c r="AD137" s="59">
        <v>2026</v>
      </c>
    </row>
    <row r="138" spans="1:31" ht="21.75" customHeight="1" x14ac:dyDescent="0.3">
      <c r="A138">
        <v>1</v>
      </c>
      <c r="B138" s="68">
        <f>SUBTOTAL(9,$A$19:A138)</f>
        <v>104</v>
      </c>
      <c r="C138" s="73" t="s">
        <v>214</v>
      </c>
      <c r="D138" s="79" t="s">
        <v>617</v>
      </c>
      <c r="E138" s="65">
        <f t="shared" si="31"/>
        <v>5014331.45</v>
      </c>
      <c r="F138" s="77">
        <v>0</v>
      </c>
      <c r="G138" s="77">
        <v>0</v>
      </c>
      <c r="H138" s="77">
        <v>0</v>
      </c>
      <c r="I138" s="77">
        <v>0</v>
      </c>
      <c r="J138" s="77">
        <v>0</v>
      </c>
      <c r="K138" s="77">
        <v>0</v>
      </c>
      <c r="L138" s="155">
        <v>0</v>
      </c>
      <c r="M138" s="77">
        <v>0</v>
      </c>
      <c r="N138" s="90">
        <v>395</v>
      </c>
      <c r="O138" s="72">
        <v>4743183.6900000004</v>
      </c>
      <c r="P138" s="77">
        <v>0</v>
      </c>
      <c r="Q138" s="77">
        <v>0</v>
      </c>
      <c r="R138" s="77">
        <v>0</v>
      </c>
      <c r="S138" s="77">
        <v>0</v>
      </c>
      <c r="T138" s="77">
        <v>0</v>
      </c>
      <c r="U138" s="77">
        <v>0</v>
      </c>
      <c r="V138" s="77">
        <v>0</v>
      </c>
      <c r="W138" s="77">
        <v>0</v>
      </c>
      <c r="X138" s="77">
        <v>0</v>
      </c>
      <c r="Y138" s="77">
        <v>200000</v>
      </c>
      <c r="Z138" s="77">
        <f>ROUND(O138*1.5%,2)</f>
        <v>71147.759999999995</v>
      </c>
      <c r="AA138" s="77">
        <v>0</v>
      </c>
      <c r="AB138" s="70">
        <v>2026</v>
      </c>
      <c r="AC138" s="70">
        <v>2026</v>
      </c>
      <c r="AD138" s="70">
        <v>2026</v>
      </c>
    </row>
    <row r="139" spans="1:31" ht="21.75" customHeight="1" x14ac:dyDescent="0.3">
      <c r="A139">
        <v>1</v>
      </c>
      <c r="B139" s="68">
        <f>SUBTOTAL(9,$A$19:A139)</f>
        <v>105</v>
      </c>
      <c r="C139" s="73" t="s">
        <v>676</v>
      </c>
      <c r="D139" s="79" t="s">
        <v>617</v>
      </c>
      <c r="E139" s="65">
        <f t="shared" si="31"/>
        <v>9859136.8300000001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  <c r="K139" s="77">
        <v>0</v>
      </c>
      <c r="L139" s="155">
        <v>0</v>
      </c>
      <c r="M139" s="77">
        <v>0</v>
      </c>
      <c r="N139" s="90">
        <v>788</v>
      </c>
      <c r="O139" s="72">
        <v>9467129.8800000008</v>
      </c>
      <c r="P139" s="77">
        <v>0</v>
      </c>
      <c r="Q139" s="77">
        <v>0</v>
      </c>
      <c r="R139" s="77">
        <v>0</v>
      </c>
      <c r="S139" s="77">
        <v>0</v>
      </c>
      <c r="T139" s="77">
        <v>0</v>
      </c>
      <c r="U139" s="77">
        <v>0</v>
      </c>
      <c r="V139" s="77">
        <v>0</v>
      </c>
      <c r="W139" s="77">
        <v>0</v>
      </c>
      <c r="X139" s="77">
        <v>0</v>
      </c>
      <c r="Y139" s="77">
        <v>250000</v>
      </c>
      <c r="Z139" s="77">
        <f>ROUND(O139*1.5%,2)</f>
        <v>142006.95000000001</v>
      </c>
      <c r="AA139" s="77">
        <v>0</v>
      </c>
      <c r="AB139" s="70">
        <v>2026</v>
      </c>
      <c r="AC139" s="70">
        <v>2026</v>
      </c>
      <c r="AD139" s="70">
        <v>2026</v>
      </c>
    </row>
    <row r="140" spans="1:31" x14ac:dyDescent="0.3">
      <c r="B140" s="62" t="s">
        <v>222</v>
      </c>
      <c r="C140" s="62"/>
      <c r="D140" s="86"/>
      <c r="E140" s="5">
        <f>SUM(E141:E143)</f>
        <v>19260578.530000001</v>
      </c>
      <c r="F140" s="77">
        <f>SUM(F141:F143)</f>
        <v>0</v>
      </c>
      <c r="G140" s="5">
        <f t="shared" ref="G140:AA140" si="34">SUM(G141:G143)</f>
        <v>0</v>
      </c>
      <c r="H140" s="77">
        <f t="shared" si="34"/>
        <v>0</v>
      </c>
      <c r="I140" s="5">
        <f t="shared" si="34"/>
        <v>0</v>
      </c>
      <c r="J140" s="77">
        <f t="shared" si="34"/>
        <v>0</v>
      </c>
      <c r="K140" s="5">
        <f t="shared" si="34"/>
        <v>0</v>
      </c>
      <c r="L140" s="156">
        <f t="shared" si="34"/>
        <v>0</v>
      </c>
      <c r="M140" s="5">
        <f t="shared" si="34"/>
        <v>0</v>
      </c>
      <c r="N140" s="77">
        <f t="shared" si="34"/>
        <v>1716.1</v>
      </c>
      <c r="O140" s="5">
        <f t="shared" si="34"/>
        <v>18508511.399999999</v>
      </c>
      <c r="P140" s="77">
        <f t="shared" si="34"/>
        <v>0</v>
      </c>
      <c r="Q140" s="5">
        <f t="shared" si="34"/>
        <v>0</v>
      </c>
      <c r="R140" s="77">
        <f t="shared" si="34"/>
        <v>0</v>
      </c>
      <c r="S140" s="5">
        <f t="shared" si="34"/>
        <v>0</v>
      </c>
      <c r="T140" s="77">
        <f t="shared" si="34"/>
        <v>0</v>
      </c>
      <c r="U140" s="5">
        <f t="shared" si="34"/>
        <v>0</v>
      </c>
      <c r="V140" s="77">
        <f t="shared" si="34"/>
        <v>0</v>
      </c>
      <c r="W140" s="5">
        <f t="shared" si="34"/>
        <v>0</v>
      </c>
      <c r="X140" s="77">
        <f t="shared" si="34"/>
        <v>0</v>
      </c>
      <c r="Y140" s="5">
        <f t="shared" si="34"/>
        <v>304439.46000000002</v>
      </c>
      <c r="Z140" s="77">
        <f t="shared" si="34"/>
        <v>277627.67000000004</v>
      </c>
      <c r="AA140" s="5">
        <f t="shared" si="34"/>
        <v>170000</v>
      </c>
      <c r="AB140" s="66" t="s">
        <v>423</v>
      </c>
      <c r="AC140" s="66" t="s">
        <v>423</v>
      </c>
      <c r="AD140" s="66" t="s">
        <v>423</v>
      </c>
    </row>
    <row r="141" spans="1:31" x14ac:dyDescent="0.3">
      <c r="A141">
        <v>1</v>
      </c>
      <c r="B141" s="68">
        <f>SUBTOTAL(9,$A$19:A141)</f>
        <v>106</v>
      </c>
      <c r="C141" s="73" t="s">
        <v>217</v>
      </c>
      <c r="D141" s="79" t="s">
        <v>618</v>
      </c>
      <c r="E141" s="65">
        <f t="shared" ref="E141:E142" si="35">F141+G141+H141+I141+J141+K141+M141+O141+Q141+S141+U141+V141+W141+X141+Z141+AA141+Y141</f>
        <v>7570888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  <c r="K141" s="77">
        <v>0</v>
      </c>
      <c r="L141" s="155">
        <v>0</v>
      </c>
      <c r="M141" s="77">
        <v>0</v>
      </c>
      <c r="N141" s="90">
        <v>600</v>
      </c>
      <c r="O141" s="72">
        <v>7159062.5999999996</v>
      </c>
      <c r="P141" s="77">
        <v>0</v>
      </c>
      <c r="Q141" s="77">
        <v>0</v>
      </c>
      <c r="R141" s="77">
        <v>0</v>
      </c>
      <c r="S141" s="77">
        <v>0</v>
      </c>
      <c r="T141" s="77">
        <v>0</v>
      </c>
      <c r="U141" s="77">
        <v>0</v>
      </c>
      <c r="V141" s="77">
        <v>0</v>
      </c>
      <c r="W141" s="77">
        <v>0</v>
      </c>
      <c r="X141" s="77">
        <v>0</v>
      </c>
      <c r="Y141" s="77">
        <v>304439.46000000002</v>
      </c>
      <c r="Z141" s="77">
        <f t="shared" ref="Z141:Z142" si="36">ROUND(O141*1.5%,2)</f>
        <v>107385.94</v>
      </c>
      <c r="AA141" s="77">
        <v>0</v>
      </c>
      <c r="AB141" s="70">
        <v>2026</v>
      </c>
      <c r="AC141" s="70">
        <v>2026</v>
      </c>
      <c r="AD141" s="70">
        <v>2026</v>
      </c>
    </row>
    <row r="142" spans="1:31" x14ac:dyDescent="0.3">
      <c r="A142">
        <v>1</v>
      </c>
      <c r="B142" s="68">
        <f>SUBTOTAL(9,$A$19:A142)</f>
        <v>107</v>
      </c>
      <c r="C142" s="73" t="s">
        <v>218</v>
      </c>
      <c r="D142" s="79" t="s">
        <v>618</v>
      </c>
      <c r="E142" s="65">
        <f t="shared" si="35"/>
        <v>8074067.7999999998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7">
        <v>0</v>
      </c>
      <c r="L142" s="155">
        <v>0</v>
      </c>
      <c r="M142" s="77">
        <v>0</v>
      </c>
      <c r="N142" s="90">
        <v>781.1</v>
      </c>
      <c r="O142" s="72">
        <v>7954746.5999999996</v>
      </c>
      <c r="P142" s="77">
        <v>0</v>
      </c>
      <c r="Q142" s="77">
        <v>0</v>
      </c>
      <c r="R142" s="77">
        <v>0</v>
      </c>
      <c r="S142" s="77">
        <v>0</v>
      </c>
      <c r="T142" s="77">
        <v>0</v>
      </c>
      <c r="U142" s="77">
        <v>0</v>
      </c>
      <c r="V142" s="77">
        <v>0</v>
      </c>
      <c r="W142" s="77">
        <v>0</v>
      </c>
      <c r="X142" s="77">
        <v>0</v>
      </c>
      <c r="Y142" s="77">
        <v>0</v>
      </c>
      <c r="Z142" s="77">
        <f t="shared" si="36"/>
        <v>119321.2</v>
      </c>
      <c r="AA142" s="77">
        <v>0</v>
      </c>
      <c r="AB142" s="66" t="s">
        <v>426</v>
      </c>
      <c r="AC142" s="70">
        <v>2026</v>
      </c>
      <c r="AD142" s="70">
        <v>2026</v>
      </c>
    </row>
    <row r="143" spans="1:31" s="82" customFormat="1" x14ac:dyDescent="0.3">
      <c r="A143">
        <v>1</v>
      </c>
      <c r="B143" s="68">
        <f>SUBTOTAL(9,$A$19:A143)</f>
        <v>108</v>
      </c>
      <c r="C143" s="78" t="s">
        <v>659</v>
      </c>
      <c r="D143" s="88" t="s">
        <v>618</v>
      </c>
      <c r="E143" s="72">
        <f t="shared" ref="E143" si="37">F143+G143+H143+I143+J143+K143+M143+O143+Q143+S143+U143+V143+W143+X143+Y143+Z143+AA143</f>
        <v>3615622.73</v>
      </c>
      <c r="F143" s="76">
        <v>0</v>
      </c>
      <c r="G143" s="76">
        <v>0</v>
      </c>
      <c r="H143" s="76">
        <v>0</v>
      </c>
      <c r="I143" s="76">
        <v>0</v>
      </c>
      <c r="J143" s="76">
        <v>0</v>
      </c>
      <c r="K143" s="76">
        <v>0</v>
      </c>
      <c r="L143" s="154">
        <v>0</v>
      </c>
      <c r="M143" s="76">
        <v>0</v>
      </c>
      <c r="N143" s="81">
        <v>335</v>
      </c>
      <c r="O143" s="72">
        <f>2661794.45+732907.75</f>
        <v>3394702.2</v>
      </c>
      <c r="P143" s="76">
        <v>0</v>
      </c>
      <c r="Q143" s="76">
        <v>0</v>
      </c>
      <c r="R143" s="72">
        <v>0</v>
      </c>
      <c r="S143" s="72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2">
        <f>ROUND(O143*1.5%,2)</f>
        <v>50920.53</v>
      </c>
      <c r="AA143" s="76">
        <v>170000</v>
      </c>
      <c r="AB143" s="59" t="s">
        <v>426</v>
      </c>
      <c r="AC143" s="59">
        <v>2026</v>
      </c>
      <c r="AD143" s="59">
        <v>2026</v>
      </c>
      <c r="AE143" s="85"/>
    </row>
    <row r="144" spans="1:31" x14ac:dyDescent="0.3">
      <c r="B144" s="62" t="s">
        <v>697</v>
      </c>
      <c r="C144" s="62"/>
      <c r="D144" s="86"/>
      <c r="E144" s="5">
        <f>SUM(E145:E151)</f>
        <v>76637550.150000006</v>
      </c>
      <c r="F144" s="77">
        <f t="shared" ref="F144:AA144" si="38">SUM(F145:F151)</f>
        <v>0</v>
      </c>
      <c r="G144" s="5">
        <f t="shared" si="38"/>
        <v>0</v>
      </c>
      <c r="H144" s="77">
        <f t="shared" si="38"/>
        <v>0</v>
      </c>
      <c r="I144" s="5">
        <f t="shared" si="38"/>
        <v>0</v>
      </c>
      <c r="J144" s="77">
        <f t="shared" si="38"/>
        <v>1619152.71</v>
      </c>
      <c r="K144" s="5">
        <f t="shared" si="38"/>
        <v>0</v>
      </c>
      <c r="L144" s="156">
        <f t="shared" si="38"/>
        <v>0</v>
      </c>
      <c r="M144" s="5">
        <f t="shared" si="38"/>
        <v>0</v>
      </c>
      <c r="N144" s="77">
        <f t="shared" si="38"/>
        <v>6707.38</v>
      </c>
      <c r="O144" s="5">
        <f t="shared" si="38"/>
        <v>72869353.040000007</v>
      </c>
      <c r="P144" s="77">
        <f t="shared" si="38"/>
        <v>0</v>
      </c>
      <c r="Q144" s="5">
        <f t="shared" si="38"/>
        <v>0</v>
      </c>
      <c r="R144" s="77">
        <f t="shared" si="38"/>
        <v>0</v>
      </c>
      <c r="S144" s="5">
        <f t="shared" si="38"/>
        <v>0</v>
      </c>
      <c r="T144" s="77">
        <f t="shared" si="38"/>
        <v>0</v>
      </c>
      <c r="U144" s="5">
        <f t="shared" si="38"/>
        <v>0</v>
      </c>
      <c r="V144" s="77">
        <f t="shared" si="38"/>
        <v>0</v>
      </c>
      <c r="W144" s="5">
        <f t="shared" si="38"/>
        <v>0</v>
      </c>
      <c r="X144" s="77">
        <f t="shared" si="38"/>
        <v>0</v>
      </c>
      <c r="Y144" s="5">
        <f t="shared" si="38"/>
        <v>1032638.78</v>
      </c>
      <c r="Z144" s="77">
        <f t="shared" si="38"/>
        <v>1116405.6200000001</v>
      </c>
      <c r="AA144" s="5">
        <f t="shared" si="38"/>
        <v>0</v>
      </c>
      <c r="AB144" s="66" t="s">
        <v>423</v>
      </c>
      <c r="AC144" s="66" t="s">
        <v>423</v>
      </c>
      <c r="AD144" s="66" t="s">
        <v>423</v>
      </c>
    </row>
    <row r="145" spans="1:31" x14ac:dyDescent="0.3">
      <c r="A145">
        <v>1</v>
      </c>
      <c r="B145" s="68">
        <f>SUBTOTAL(9,$A$19:A145)</f>
        <v>109</v>
      </c>
      <c r="C145" s="73" t="s">
        <v>273</v>
      </c>
      <c r="D145" s="79" t="s">
        <v>619</v>
      </c>
      <c r="E145" s="65">
        <f>F145+G145+H145+I145+J145+K145+M145+O145+Q145+S145+U145+V145+W145+X145+Z145+AA145+Y145</f>
        <v>6091733.4900000002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  <c r="K145" s="91">
        <v>0</v>
      </c>
      <c r="L145" s="157">
        <v>0</v>
      </c>
      <c r="M145" s="91">
        <v>0</v>
      </c>
      <c r="N145" s="81">
        <v>658.1</v>
      </c>
      <c r="O145" s="72">
        <v>6001707.8700000001</v>
      </c>
      <c r="P145" s="91">
        <v>0</v>
      </c>
      <c r="Q145" s="91">
        <v>0</v>
      </c>
      <c r="R145" s="72">
        <v>0</v>
      </c>
      <c r="S145" s="72">
        <v>0</v>
      </c>
      <c r="T145" s="77">
        <v>0</v>
      </c>
      <c r="U145" s="77">
        <v>0</v>
      </c>
      <c r="V145" s="77">
        <v>0</v>
      </c>
      <c r="W145" s="77">
        <v>0</v>
      </c>
      <c r="X145" s="77">
        <v>0</v>
      </c>
      <c r="Y145" s="77">
        <v>0</v>
      </c>
      <c r="Z145" s="77">
        <f>ROUND(O145*1.5%,2)</f>
        <v>90025.62</v>
      </c>
      <c r="AA145" s="77">
        <v>0</v>
      </c>
      <c r="AB145" s="66" t="s">
        <v>426</v>
      </c>
      <c r="AC145" s="70">
        <v>2026</v>
      </c>
      <c r="AD145" s="70">
        <v>2026</v>
      </c>
    </row>
    <row r="146" spans="1:31" x14ac:dyDescent="0.3">
      <c r="A146">
        <v>1</v>
      </c>
      <c r="B146" s="68">
        <f>SUBTOTAL(9,$A$19:A146)</f>
        <v>110</v>
      </c>
      <c r="C146" s="73" t="s">
        <v>274</v>
      </c>
      <c r="D146" s="79" t="s">
        <v>619</v>
      </c>
      <c r="E146" s="65">
        <f t="shared" ref="E146:E147" si="39">F146+G146+H146+I146+J146+K146+M146+O146+Q146+S146+U146+V146+W146+X146+Z146+AA146+Y146</f>
        <v>9457717.290000001</v>
      </c>
      <c r="F146" s="91">
        <v>0</v>
      </c>
      <c r="G146" s="91">
        <v>0</v>
      </c>
      <c r="H146" s="91">
        <v>0</v>
      </c>
      <c r="I146" s="91">
        <v>0</v>
      </c>
      <c r="J146" s="91">
        <v>0</v>
      </c>
      <c r="K146" s="91">
        <v>0</v>
      </c>
      <c r="L146" s="157">
        <v>0</v>
      </c>
      <c r="M146" s="91">
        <v>0</v>
      </c>
      <c r="N146" s="81">
        <v>666.25</v>
      </c>
      <c r="O146" s="72">
        <v>9120903.7300000004</v>
      </c>
      <c r="P146" s="91">
        <v>0</v>
      </c>
      <c r="Q146" s="91">
        <v>0</v>
      </c>
      <c r="R146" s="72">
        <v>0</v>
      </c>
      <c r="S146" s="72">
        <v>0</v>
      </c>
      <c r="T146" s="77">
        <v>0</v>
      </c>
      <c r="U146" s="77">
        <v>0</v>
      </c>
      <c r="V146" s="77">
        <v>0</v>
      </c>
      <c r="W146" s="77">
        <v>0</v>
      </c>
      <c r="X146" s="77">
        <v>0</v>
      </c>
      <c r="Y146" s="77">
        <v>200000</v>
      </c>
      <c r="Z146" s="77">
        <f t="shared" ref="Z146:Z147" si="40">ROUND(O146*1.5%,2)</f>
        <v>136813.56</v>
      </c>
      <c r="AA146" s="77">
        <v>0</v>
      </c>
      <c r="AB146" s="70">
        <v>2026</v>
      </c>
      <c r="AC146" s="70">
        <v>2026</v>
      </c>
      <c r="AD146" s="70">
        <v>2026</v>
      </c>
    </row>
    <row r="147" spans="1:31" x14ac:dyDescent="0.3">
      <c r="A147">
        <v>1</v>
      </c>
      <c r="B147" s="68">
        <f>SUBTOTAL(9,$A$19:A147)</f>
        <v>111</v>
      </c>
      <c r="C147" s="73" t="s">
        <v>275</v>
      </c>
      <c r="D147" s="79" t="s">
        <v>619</v>
      </c>
      <c r="E147" s="65">
        <f t="shared" si="39"/>
        <v>13724415.600000001</v>
      </c>
      <c r="F147" s="72">
        <v>0</v>
      </c>
      <c r="G147" s="72">
        <v>0</v>
      </c>
      <c r="H147" s="72">
        <v>0</v>
      </c>
      <c r="I147" s="72">
        <v>0</v>
      </c>
      <c r="J147" s="72">
        <v>0</v>
      </c>
      <c r="K147" s="72">
        <v>0</v>
      </c>
      <c r="L147" s="156">
        <v>0</v>
      </c>
      <c r="M147" s="72">
        <v>0</v>
      </c>
      <c r="N147" s="89">
        <v>1081.1300000000001</v>
      </c>
      <c r="O147" s="72">
        <v>13290708.460000001</v>
      </c>
      <c r="P147" s="72">
        <v>0</v>
      </c>
      <c r="Q147" s="72">
        <v>0</v>
      </c>
      <c r="R147" s="72">
        <v>0</v>
      </c>
      <c r="S147" s="72">
        <v>0</v>
      </c>
      <c r="T147" s="77">
        <v>0</v>
      </c>
      <c r="U147" s="77">
        <v>0</v>
      </c>
      <c r="V147" s="77">
        <v>0</v>
      </c>
      <c r="W147" s="77">
        <v>0</v>
      </c>
      <c r="X147" s="77">
        <v>0</v>
      </c>
      <c r="Y147" s="72">
        <v>234346.51</v>
      </c>
      <c r="Z147" s="77">
        <f t="shared" si="40"/>
        <v>199360.63</v>
      </c>
      <c r="AA147" s="77">
        <v>0</v>
      </c>
      <c r="AB147" s="70">
        <v>2026</v>
      </c>
      <c r="AC147" s="70">
        <v>2026</v>
      </c>
      <c r="AD147" s="70">
        <v>2026</v>
      </c>
    </row>
    <row r="148" spans="1:31" s="82" customFormat="1" x14ac:dyDescent="0.3">
      <c r="A148">
        <v>1</v>
      </c>
      <c r="B148" s="68">
        <f>SUBTOTAL(9,$A$19:A148)</f>
        <v>112</v>
      </c>
      <c r="C148" s="78" t="s">
        <v>663</v>
      </c>
      <c r="D148" s="88" t="s">
        <v>619</v>
      </c>
      <c r="E148" s="72">
        <f t="shared" ref="E148" si="41">F148+G148+H148+I148+J148+K148+M148+O148+Q148+S148+U148+V148+W148+X148+Y148+Z148+AA148</f>
        <v>12476523.109999999</v>
      </c>
      <c r="F148" s="76">
        <v>0</v>
      </c>
      <c r="G148" s="76">
        <v>0</v>
      </c>
      <c r="H148" s="76">
        <v>0</v>
      </c>
      <c r="I148" s="76">
        <v>0</v>
      </c>
      <c r="J148" s="76">
        <v>0</v>
      </c>
      <c r="K148" s="76">
        <v>0</v>
      </c>
      <c r="L148" s="154">
        <v>0</v>
      </c>
      <c r="M148" s="76">
        <v>0</v>
      </c>
      <c r="N148" s="72">
        <v>1146.3</v>
      </c>
      <c r="O148" s="72">
        <v>12293049.35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  <c r="Y148" s="72">
        <v>0</v>
      </c>
      <c r="Z148" s="72">
        <f>ROUND(O148*1.4925%,2)</f>
        <v>183473.76</v>
      </c>
      <c r="AA148" s="76">
        <v>0</v>
      </c>
      <c r="AB148" s="59" t="s">
        <v>426</v>
      </c>
      <c r="AC148" s="59">
        <v>2026</v>
      </c>
      <c r="AD148" s="59">
        <v>2026</v>
      </c>
      <c r="AE148" s="85"/>
    </row>
    <row r="149" spans="1:31" x14ac:dyDescent="0.3">
      <c r="A149">
        <v>1</v>
      </c>
      <c r="B149" s="68">
        <f>SUBTOTAL(9,$A$19:A149)</f>
        <v>113</v>
      </c>
      <c r="C149" s="73" t="s">
        <v>281</v>
      </c>
      <c r="D149" s="79" t="s">
        <v>619</v>
      </c>
      <c r="E149" s="65">
        <f>F149+G149+H149+I149+J149+K149+M149+O149+Q149+S149+U149+V149+W149+X149+Z149+AA149+Y149</f>
        <v>13659292.760000002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  <c r="K149" s="91">
        <v>0</v>
      </c>
      <c r="L149" s="157">
        <v>0</v>
      </c>
      <c r="M149" s="91">
        <v>0</v>
      </c>
      <c r="N149" s="72">
        <v>1076</v>
      </c>
      <c r="O149" s="72">
        <v>13163547.280000001</v>
      </c>
      <c r="P149" s="91">
        <v>0</v>
      </c>
      <c r="Q149" s="91">
        <v>0</v>
      </c>
      <c r="R149" s="72">
        <v>0</v>
      </c>
      <c r="S149" s="72">
        <v>0</v>
      </c>
      <c r="T149" s="77">
        <v>0</v>
      </c>
      <c r="U149" s="77">
        <v>0</v>
      </c>
      <c r="V149" s="77">
        <v>0</v>
      </c>
      <c r="W149" s="77">
        <v>0</v>
      </c>
      <c r="X149" s="77">
        <v>0</v>
      </c>
      <c r="Y149" s="72">
        <v>298292.27</v>
      </c>
      <c r="Z149" s="77">
        <f>ROUND(O149*1.5%,2)</f>
        <v>197453.21</v>
      </c>
      <c r="AA149" s="77">
        <v>0</v>
      </c>
      <c r="AB149" s="70">
        <v>2026</v>
      </c>
      <c r="AC149" s="70">
        <v>2026</v>
      </c>
      <c r="AD149" s="70">
        <v>2026</v>
      </c>
    </row>
    <row r="150" spans="1:31" s="8" customFormat="1" x14ac:dyDescent="0.3">
      <c r="A150">
        <v>1</v>
      </c>
      <c r="B150" s="68">
        <f>SUBTOTAL(9,$A$19:A150)</f>
        <v>114</v>
      </c>
      <c r="C150" s="69" t="s">
        <v>601</v>
      </c>
      <c r="D150" s="70" t="s">
        <v>619</v>
      </c>
      <c r="E150" s="72">
        <f t="shared" ref="E150" si="42">F150+G150+H150+I150+J150+K150+M150+O150+Q150+S150+U150+V150+W150+X150+Y150+Z150+AA150</f>
        <v>9372377.9000000004</v>
      </c>
      <c r="F150" s="77">
        <v>0</v>
      </c>
      <c r="G150" s="77">
        <v>0</v>
      </c>
      <c r="H150" s="77">
        <v>0</v>
      </c>
      <c r="I150" s="77">
        <v>0</v>
      </c>
      <c r="J150" s="77">
        <v>0</v>
      </c>
      <c r="K150" s="77">
        <v>0</v>
      </c>
      <c r="L150" s="155">
        <v>0</v>
      </c>
      <c r="M150" s="77">
        <v>0</v>
      </c>
      <c r="N150" s="74">
        <v>1327.4</v>
      </c>
      <c r="O150" s="74">
        <v>9233869.8499999996</v>
      </c>
      <c r="P150" s="77">
        <v>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  <c r="W150" s="77">
        <v>0</v>
      </c>
      <c r="X150" s="77">
        <v>0</v>
      </c>
      <c r="Y150" s="77">
        <v>0</v>
      </c>
      <c r="Z150" s="77">
        <f>ROUND(O150*1.5%,2)</f>
        <v>138508.04999999999</v>
      </c>
      <c r="AA150" s="77">
        <v>0</v>
      </c>
      <c r="AB150" s="92" t="s">
        <v>426</v>
      </c>
      <c r="AC150" s="92">
        <v>2026</v>
      </c>
      <c r="AD150" s="93">
        <v>2026</v>
      </c>
      <c r="AE150" s="82"/>
    </row>
    <row r="151" spans="1:31" x14ac:dyDescent="0.3">
      <c r="A151">
        <v>1</v>
      </c>
      <c r="B151" s="68">
        <f>SUBTOTAL(9,$A$19:A159)</f>
        <v>122</v>
      </c>
      <c r="C151" s="73" t="s">
        <v>282</v>
      </c>
      <c r="D151" s="79" t="s">
        <v>619</v>
      </c>
      <c r="E151" s="65">
        <f>F151+G151+H151+I151+J151+K151+M151+O151+Q151+S151+U151+V151+W151+X151+Z151+AA151+Y151</f>
        <v>11855490</v>
      </c>
      <c r="F151" s="77">
        <v>0</v>
      </c>
      <c r="G151" s="77">
        <v>0</v>
      </c>
      <c r="H151" s="77">
        <v>0</v>
      </c>
      <c r="I151" s="77">
        <v>0</v>
      </c>
      <c r="J151" s="77">
        <v>1619152.71</v>
      </c>
      <c r="K151" s="77">
        <v>0</v>
      </c>
      <c r="L151" s="155">
        <v>0</v>
      </c>
      <c r="M151" s="77">
        <v>0</v>
      </c>
      <c r="N151" s="77">
        <v>752.2</v>
      </c>
      <c r="O151" s="72">
        <v>9765566.5</v>
      </c>
      <c r="P151" s="77">
        <v>0</v>
      </c>
      <c r="Q151" s="77">
        <v>0</v>
      </c>
      <c r="R151" s="77">
        <v>0</v>
      </c>
      <c r="S151" s="77">
        <v>0</v>
      </c>
      <c r="T151" s="77">
        <v>0</v>
      </c>
      <c r="U151" s="77">
        <v>0</v>
      </c>
      <c r="V151" s="77">
        <v>0</v>
      </c>
      <c r="W151" s="77">
        <v>0</v>
      </c>
      <c r="X151" s="77">
        <v>0</v>
      </c>
      <c r="Y151" s="77">
        <v>300000</v>
      </c>
      <c r="Z151" s="77">
        <f>ROUND(O151*1.5%,2)+ROUND(J151*1.5%,2)</f>
        <v>170770.79</v>
      </c>
      <c r="AA151" s="77">
        <v>0</v>
      </c>
      <c r="AB151" s="70">
        <v>2026</v>
      </c>
      <c r="AC151" s="70">
        <v>2026</v>
      </c>
      <c r="AD151" s="70">
        <v>2026</v>
      </c>
    </row>
    <row r="152" spans="1:31" x14ac:dyDescent="0.3">
      <c r="B152" s="67" t="s">
        <v>698</v>
      </c>
      <c r="C152" s="67"/>
      <c r="D152" s="87"/>
      <c r="E152" s="72">
        <f>SUM(E153:E159)</f>
        <v>53286193.409999996</v>
      </c>
      <c r="F152" s="72">
        <f t="shared" ref="F152:AA152" si="43">SUM(F153:F159)</f>
        <v>314814.01</v>
      </c>
      <c r="G152" s="72">
        <f t="shared" si="43"/>
        <v>0</v>
      </c>
      <c r="H152" s="72">
        <f t="shared" si="43"/>
        <v>0</v>
      </c>
      <c r="I152" s="72">
        <f t="shared" si="43"/>
        <v>423474.69</v>
      </c>
      <c r="J152" s="72">
        <f t="shared" si="43"/>
        <v>0</v>
      </c>
      <c r="K152" s="72">
        <f t="shared" si="43"/>
        <v>0</v>
      </c>
      <c r="L152" s="156">
        <f t="shared" si="43"/>
        <v>0</v>
      </c>
      <c r="M152" s="72">
        <f t="shared" si="43"/>
        <v>0</v>
      </c>
      <c r="N152" s="72">
        <f t="shared" si="43"/>
        <v>3463.3100000000004</v>
      </c>
      <c r="O152" s="72">
        <f t="shared" si="43"/>
        <v>40581516.68</v>
      </c>
      <c r="P152" s="72">
        <f t="shared" si="43"/>
        <v>0</v>
      </c>
      <c r="Q152" s="72">
        <f t="shared" si="43"/>
        <v>0</v>
      </c>
      <c r="R152" s="72">
        <f t="shared" si="43"/>
        <v>763.5</v>
      </c>
      <c r="S152" s="72">
        <f t="shared" si="43"/>
        <v>9437609.3600000013</v>
      </c>
      <c r="T152" s="72">
        <f t="shared" si="43"/>
        <v>0</v>
      </c>
      <c r="U152" s="72">
        <f t="shared" si="43"/>
        <v>0</v>
      </c>
      <c r="V152" s="72">
        <f t="shared" si="43"/>
        <v>0</v>
      </c>
      <c r="W152" s="72">
        <f t="shared" si="43"/>
        <v>0</v>
      </c>
      <c r="X152" s="72">
        <f t="shared" si="43"/>
        <v>0</v>
      </c>
      <c r="Y152" s="72">
        <f t="shared" si="43"/>
        <v>1572860.64</v>
      </c>
      <c r="Z152" s="72">
        <f t="shared" si="43"/>
        <v>785918.02999999991</v>
      </c>
      <c r="AA152" s="72">
        <f t="shared" si="43"/>
        <v>170000</v>
      </c>
      <c r="AB152" s="66" t="s">
        <v>423</v>
      </c>
      <c r="AC152" s="66" t="s">
        <v>423</v>
      </c>
      <c r="AD152" s="66" t="s">
        <v>423</v>
      </c>
    </row>
    <row r="153" spans="1:31" x14ac:dyDescent="0.3">
      <c r="A153">
        <v>1</v>
      </c>
      <c r="B153" s="68">
        <f>SUBTOTAL(9,$A$19:A153)</f>
        <v>116</v>
      </c>
      <c r="C153" s="73" t="s">
        <v>276</v>
      </c>
      <c r="D153" s="79" t="s">
        <v>619</v>
      </c>
      <c r="E153" s="65">
        <f>F153+G153+H153+I153+J153+K153+M153+O153+Q153+S153+U153+V153+W153+X153+Z153+AA153+Y153</f>
        <v>7380588.1100000003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  <c r="K153" s="77">
        <v>0</v>
      </c>
      <c r="L153" s="155">
        <v>0</v>
      </c>
      <c r="M153" s="77">
        <v>0</v>
      </c>
      <c r="N153" s="77">
        <v>581.4</v>
      </c>
      <c r="O153" s="72">
        <v>7065566.0200000005</v>
      </c>
      <c r="P153" s="77">
        <v>0</v>
      </c>
      <c r="Q153" s="77">
        <v>0</v>
      </c>
      <c r="R153" s="77">
        <v>0</v>
      </c>
      <c r="S153" s="77">
        <v>0</v>
      </c>
      <c r="T153" s="77">
        <v>0</v>
      </c>
      <c r="U153" s="77">
        <v>0</v>
      </c>
      <c r="V153" s="77">
        <v>0</v>
      </c>
      <c r="W153" s="77">
        <v>0</v>
      </c>
      <c r="X153" s="77">
        <v>0</v>
      </c>
      <c r="Y153" s="72">
        <v>209038.6</v>
      </c>
      <c r="Z153" s="77">
        <f>ROUND(O153*1.5%,2)</f>
        <v>105983.49</v>
      </c>
      <c r="AA153" s="77">
        <v>0</v>
      </c>
      <c r="AB153" s="70">
        <v>2026</v>
      </c>
      <c r="AC153" s="70">
        <v>2026</v>
      </c>
      <c r="AD153" s="70">
        <v>2026</v>
      </c>
    </row>
    <row r="154" spans="1:31" x14ac:dyDescent="0.3">
      <c r="A154">
        <v>1</v>
      </c>
      <c r="B154" s="68">
        <f>SUBTOTAL(9,$A$19:A154)</f>
        <v>117</v>
      </c>
      <c r="C154" s="73" t="s">
        <v>628</v>
      </c>
      <c r="D154" s="79" t="s">
        <v>619</v>
      </c>
      <c r="E154" s="65">
        <f>F154+G154+H154+I154+J154+K154+M154+O154+Q154+S154+U154+V154+W154+X154+Z154+AA154+Y154</f>
        <v>7457082.1899999995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7">
        <v>0</v>
      </c>
      <c r="L154" s="155">
        <v>0</v>
      </c>
      <c r="M154" s="77">
        <v>0</v>
      </c>
      <c r="N154" s="77">
        <v>557.5</v>
      </c>
      <c r="O154" s="72">
        <f>6529250.57+571323.02</f>
        <v>7100573.5899999999</v>
      </c>
      <c r="P154" s="77">
        <v>0</v>
      </c>
      <c r="Q154" s="77">
        <v>0</v>
      </c>
      <c r="R154" s="77">
        <v>0</v>
      </c>
      <c r="S154" s="77">
        <v>0</v>
      </c>
      <c r="T154" s="77">
        <v>0</v>
      </c>
      <c r="U154" s="77">
        <v>0</v>
      </c>
      <c r="V154" s="77">
        <v>0</v>
      </c>
      <c r="W154" s="77">
        <v>0</v>
      </c>
      <c r="X154" s="77">
        <v>0</v>
      </c>
      <c r="Y154" s="72">
        <v>250000</v>
      </c>
      <c r="Z154" s="72">
        <f>ROUND(O154*1.5%,2)</f>
        <v>106508.6</v>
      </c>
      <c r="AA154" s="77">
        <v>0</v>
      </c>
      <c r="AB154" s="70">
        <v>2026</v>
      </c>
      <c r="AC154" s="70">
        <v>2026</v>
      </c>
      <c r="AD154" s="70">
        <v>2026</v>
      </c>
    </row>
    <row r="155" spans="1:31" x14ac:dyDescent="0.3">
      <c r="A155">
        <v>1</v>
      </c>
      <c r="B155" s="68">
        <f>SUBTOTAL(9,$A$19:A155)</f>
        <v>118</v>
      </c>
      <c r="C155" s="73" t="s">
        <v>277</v>
      </c>
      <c r="D155" s="79" t="s">
        <v>619</v>
      </c>
      <c r="E155" s="65">
        <f t="shared" ref="E155:E156" si="44">F155+G155+H155+I155+J155+K155+M155+O155+Q155+S155+U155+V155+W155+X155+Z155+AA155+Y155</f>
        <v>9834855.0000000019</v>
      </c>
      <c r="F155" s="91">
        <v>0</v>
      </c>
      <c r="G155" s="91">
        <v>0</v>
      </c>
      <c r="H155" s="91">
        <v>0</v>
      </c>
      <c r="I155" s="91">
        <v>0</v>
      </c>
      <c r="J155" s="91">
        <v>0</v>
      </c>
      <c r="K155" s="91">
        <v>0</v>
      </c>
      <c r="L155" s="157">
        <v>0</v>
      </c>
      <c r="M155" s="91">
        <v>0</v>
      </c>
      <c r="N155" s="81">
        <v>0</v>
      </c>
      <c r="O155" s="72">
        <v>0</v>
      </c>
      <c r="P155" s="91">
        <v>0</v>
      </c>
      <c r="Q155" s="91">
        <v>0</v>
      </c>
      <c r="R155" s="72">
        <v>763.5</v>
      </c>
      <c r="S155" s="72">
        <v>9437609.3600000013</v>
      </c>
      <c r="T155" s="77">
        <v>0</v>
      </c>
      <c r="U155" s="77">
        <v>0</v>
      </c>
      <c r="V155" s="77">
        <v>0</v>
      </c>
      <c r="W155" s="77">
        <v>0</v>
      </c>
      <c r="X155" s="77">
        <v>0</v>
      </c>
      <c r="Y155" s="72">
        <v>255681.5</v>
      </c>
      <c r="Z155" s="77">
        <f>ROUND(S155*1.5%,2)</f>
        <v>141564.14000000001</v>
      </c>
      <c r="AA155" s="77">
        <v>0</v>
      </c>
      <c r="AB155" s="70">
        <v>2026</v>
      </c>
      <c r="AC155" s="70">
        <v>2026</v>
      </c>
      <c r="AD155" s="70">
        <v>2026</v>
      </c>
    </row>
    <row r="156" spans="1:31" x14ac:dyDescent="0.3">
      <c r="A156">
        <v>1</v>
      </c>
      <c r="B156" s="68">
        <f>SUBTOTAL(9,$A$19:A156)</f>
        <v>119</v>
      </c>
      <c r="C156" s="73" t="s">
        <v>278</v>
      </c>
      <c r="D156" s="79" t="s">
        <v>619</v>
      </c>
      <c r="E156" s="65">
        <f t="shared" si="44"/>
        <v>12789718.999999998</v>
      </c>
      <c r="F156" s="72">
        <v>0</v>
      </c>
      <c r="G156" s="72">
        <v>0</v>
      </c>
      <c r="H156" s="72">
        <v>0</v>
      </c>
      <c r="I156" s="72">
        <v>0</v>
      </c>
      <c r="J156" s="72">
        <v>0</v>
      </c>
      <c r="K156" s="72">
        <v>0</v>
      </c>
      <c r="L156" s="156">
        <v>0</v>
      </c>
      <c r="M156" s="72">
        <v>0</v>
      </c>
      <c r="N156" s="72">
        <v>1007.5</v>
      </c>
      <c r="O156" s="72">
        <v>12278169.639999999</v>
      </c>
      <c r="P156" s="72">
        <v>0</v>
      </c>
      <c r="Q156" s="72">
        <v>0</v>
      </c>
      <c r="R156" s="72">
        <v>0</v>
      </c>
      <c r="S156" s="72">
        <v>0</v>
      </c>
      <c r="T156" s="77">
        <v>0</v>
      </c>
      <c r="U156" s="77">
        <v>0</v>
      </c>
      <c r="V156" s="77">
        <v>0</v>
      </c>
      <c r="W156" s="77">
        <v>0</v>
      </c>
      <c r="X156" s="77">
        <v>0</v>
      </c>
      <c r="Y156" s="72">
        <v>327376.82</v>
      </c>
      <c r="Z156" s="77">
        <f>ROUND(O156*1.5%,2)</f>
        <v>184172.54</v>
      </c>
      <c r="AA156" s="77">
        <v>0</v>
      </c>
      <c r="AB156" s="70">
        <v>2026</v>
      </c>
      <c r="AC156" s="70">
        <v>2026</v>
      </c>
      <c r="AD156" s="70">
        <v>2026</v>
      </c>
    </row>
    <row r="157" spans="1:31" x14ac:dyDescent="0.3">
      <c r="A157">
        <v>1</v>
      </c>
      <c r="B157" s="68">
        <f>SUBTOTAL(9,$A$19:A157)</f>
        <v>120</v>
      </c>
      <c r="C157" s="73" t="s">
        <v>279</v>
      </c>
      <c r="D157" s="79" t="s">
        <v>619</v>
      </c>
      <c r="E157" s="65">
        <f>F157+G157+H157+I157+J157+K157+M157+O157+Q157+S157+U157+V157+W157+X157+Z157+AA157+Y157</f>
        <v>10220476.949999999</v>
      </c>
      <c r="F157" s="72">
        <v>0</v>
      </c>
      <c r="G157" s="72">
        <v>0</v>
      </c>
      <c r="H157" s="72">
        <v>0</v>
      </c>
      <c r="I157" s="72">
        <v>0</v>
      </c>
      <c r="J157" s="72">
        <v>0</v>
      </c>
      <c r="K157" s="72">
        <v>0</v>
      </c>
      <c r="L157" s="156">
        <v>0</v>
      </c>
      <c r="M157" s="72">
        <v>0</v>
      </c>
      <c r="N157" s="72">
        <v>805.11</v>
      </c>
      <c r="O157" s="72">
        <v>9872391.0800000001</v>
      </c>
      <c r="P157" s="72">
        <v>0</v>
      </c>
      <c r="Q157" s="72">
        <v>0</v>
      </c>
      <c r="R157" s="72">
        <v>0</v>
      </c>
      <c r="S157" s="72">
        <v>0</v>
      </c>
      <c r="T157" s="77">
        <v>0</v>
      </c>
      <c r="U157" s="77">
        <v>0</v>
      </c>
      <c r="V157" s="77">
        <v>0</v>
      </c>
      <c r="W157" s="77">
        <v>0</v>
      </c>
      <c r="X157" s="77">
        <v>0</v>
      </c>
      <c r="Y157" s="77">
        <v>200000</v>
      </c>
      <c r="Z157" s="77">
        <f>ROUND(O157*1.5%,2)</f>
        <v>148085.87</v>
      </c>
      <c r="AA157" s="77">
        <v>0</v>
      </c>
      <c r="AB157" s="70">
        <v>2026</v>
      </c>
      <c r="AC157" s="70">
        <v>2026</v>
      </c>
      <c r="AD157" s="70">
        <v>2026</v>
      </c>
    </row>
    <row r="158" spans="1:31" s="82" customFormat="1" x14ac:dyDescent="0.3">
      <c r="A158">
        <v>1</v>
      </c>
      <c r="B158" s="68">
        <f>SUBTOTAL(9,$A$19:A158)</f>
        <v>121</v>
      </c>
      <c r="C158" s="94" t="s">
        <v>602</v>
      </c>
      <c r="D158" s="59" t="s">
        <v>619</v>
      </c>
      <c r="E158" s="72">
        <f t="shared" ref="E158" si="45">F158+G158+H158+I158+J158+K158+M158+O158+Q158+S158+U158+V158+W158+X158+Y158+Z158+AA158</f>
        <v>4754109.129999999</v>
      </c>
      <c r="F158" s="72">
        <v>0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156">
        <v>0</v>
      </c>
      <c r="M158" s="72">
        <v>0</v>
      </c>
      <c r="N158" s="72">
        <v>511.8</v>
      </c>
      <c r="O158" s="72">
        <v>4264816.3499999996</v>
      </c>
      <c r="P158" s="72">
        <v>0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0</v>
      </c>
      <c r="W158" s="72">
        <v>0</v>
      </c>
      <c r="X158" s="72">
        <v>0</v>
      </c>
      <c r="Y158" s="72">
        <v>230763.72</v>
      </c>
      <c r="Z158" s="72">
        <f>ROUND(O158*2.0758%,2)</f>
        <v>88529.06</v>
      </c>
      <c r="AA158" s="72">
        <v>170000</v>
      </c>
      <c r="AB158" s="59">
        <v>2026</v>
      </c>
      <c r="AC158" s="92">
        <v>2026</v>
      </c>
      <c r="AD158" s="93">
        <v>2026</v>
      </c>
    </row>
    <row r="159" spans="1:31" x14ac:dyDescent="0.3">
      <c r="A159">
        <v>1</v>
      </c>
      <c r="B159" s="68">
        <f>SUBTOTAL(9,$A$19:A159)</f>
        <v>122</v>
      </c>
      <c r="C159" s="73" t="s">
        <v>280</v>
      </c>
      <c r="D159" s="79" t="s">
        <v>619</v>
      </c>
      <c r="E159" s="65">
        <f>F159+G159+H159+I159+J159+K159+M159+O159+Q159+S159+U159+V159+W159+X159+Z159+AA159+Y159</f>
        <v>849363.02999999991</v>
      </c>
      <c r="F159" s="72">
        <v>314814.01</v>
      </c>
      <c r="G159" s="72">
        <v>0</v>
      </c>
      <c r="H159" s="72">
        <v>0</v>
      </c>
      <c r="I159" s="72">
        <v>423474.69</v>
      </c>
      <c r="J159" s="72">
        <v>0</v>
      </c>
      <c r="K159" s="72">
        <v>0</v>
      </c>
      <c r="L159" s="156">
        <v>0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72">
        <v>0</v>
      </c>
      <c r="T159" s="77">
        <v>0</v>
      </c>
      <c r="U159" s="77">
        <v>0</v>
      </c>
      <c r="V159" s="77">
        <v>0</v>
      </c>
      <c r="W159" s="77">
        <v>0</v>
      </c>
      <c r="X159" s="77">
        <v>0</v>
      </c>
      <c r="Y159" s="77">
        <v>100000</v>
      </c>
      <c r="Z159" s="77">
        <f>ROUND(F159*1.5%,2)+ROUND(I159*1.5%,2)</f>
        <v>11074.33</v>
      </c>
      <c r="AA159" s="77">
        <v>0</v>
      </c>
      <c r="AB159" s="70">
        <v>2026</v>
      </c>
      <c r="AC159" s="70">
        <v>2026</v>
      </c>
      <c r="AD159" s="70">
        <v>2026</v>
      </c>
    </row>
    <row r="160" spans="1:31" x14ac:dyDescent="0.3">
      <c r="B160" s="62" t="s">
        <v>690</v>
      </c>
      <c r="C160" s="62"/>
      <c r="D160" s="86"/>
      <c r="E160" s="5">
        <f>E161</f>
        <v>5480018.8700000001</v>
      </c>
      <c r="F160" s="77">
        <f t="shared" ref="F160:AA160" si="46">F161</f>
        <v>0</v>
      </c>
      <c r="G160" s="77">
        <f t="shared" si="46"/>
        <v>0</v>
      </c>
      <c r="H160" s="77">
        <f t="shared" si="46"/>
        <v>0</v>
      </c>
      <c r="I160" s="77">
        <f t="shared" si="46"/>
        <v>0</v>
      </c>
      <c r="J160" s="77">
        <f t="shared" si="46"/>
        <v>0</v>
      </c>
      <c r="K160" s="77">
        <f t="shared" si="46"/>
        <v>0</v>
      </c>
      <c r="L160" s="155">
        <f t="shared" si="46"/>
        <v>0</v>
      </c>
      <c r="M160" s="77">
        <f t="shared" si="46"/>
        <v>0</v>
      </c>
      <c r="N160" s="77">
        <f t="shared" si="46"/>
        <v>437</v>
      </c>
      <c r="O160" s="77">
        <f t="shared" si="46"/>
        <v>5201989.03</v>
      </c>
      <c r="P160" s="77">
        <f t="shared" si="46"/>
        <v>0</v>
      </c>
      <c r="Q160" s="77">
        <f t="shared" si="46"/>
        <v>0</v>
      </c>
      <c r="R160" s="77">
        <f t="shared" si="46"/>
        <v>0</v>
      </c>
      <c r="S160" s="77">
        <f t="shared" si="46"/>
        <v>0</v>
      </c>
      <c r="T160" s="77">
        <f t="shared" si="46"/>
        <v>0</v>
      </c>
      <c r="U160" s="77">
        <f t="shared" si="46"/>
        <v>0</v>
      </c>
      <c r="V160" s="77">
        <f t="shared" si="46"/>
        <v>0</v>
      </c>
      <c r="W160" s="77">
        <f t="shared" si="46"/>
        <v>0</v>
      </c>
      <c r="X160" s="77">
        <f t="shared" si="46"/>
        <v>0</v>
      </c>
      <c r="Y160" s="77">
        <f t="shared" si="46"/>
        <v>200000</v>
      </c>
      <c r="Z160" s="77">
        <f t="shared" si="46"/>
        <v>78029.84</v>
      </c>
      <c r="AA160" s="77">
        <f t="shared" si="46"/>
        <v>0</v>
      </c>
      <c r="AB160" s="66" t="s">
        <v>423</v>
      </c>
      <c r="AC160" s="66" t="s">
        <v>423</v>
      </c>
      <c r="AD160" s="66" t="s">
        <v>423</v>
      </c>
    </row>
    <row r="161" spans="1:30" x14ac:dyDescent="0.3">
      <c r="A161">
        <v>1</v>
      </c>
      <c r="B161" s="68">
        <f>SUBTOTAL(9,$A$19:A161)</f>
        <v>123</v>
      </c>
      <c r="C161" s="73" t="s">
        <v>224</v>
      </c>
      <c r="D161" s="79" t="s">
        <v>620</v>
      </c>
      <c r="E161" s="72">
        <f>F161+G161+H161+I161+J161+K161+M161+O161+Q161+S161+U161+V161+W161+X161+Y161+Z161+AA161</f>
        <v>5480018.8700000001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7">
        <v>0</v>
      </c>
      <c r="L161" s="155">
        <v>0</v>
      </c>
      <c r="M161" s="77">
        <v>0</v>
      </c>
      <c r="N161" s="81">
        <v>437</v>
      </c>
      <c r="O161" s="95">
        <v>5201989.03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77">
        <v>0</v>
      </c>
      <c r="W161" s="77">
        <v>0</v>
      </c>
      <c r="X161" s="77">
        <v>0</v>
      </c>
      <c r="Y161" s="95">
        <v>200000</v>
      </c>
      <c r="Z161" s="95">
        <f>ROUND(O161*1.5%,2)</f>
        <v>78029.84</v>
      </c>
      <c r="AA161" s="77">
        <v>0</v>
      </c>
      <c r="AB161" s="70">
        <v>2026</v>
      </c>
      <c r="AC161" s="70">
        <v>2026</v>
      </c>
      <c r="AD161" s="70">
        <v>2026</v>
      </c>
    </row>
    <row r="162" spans="1:30" x14ac:dyDescent="0.3">
      <c r="B162" s="62" t="s">
        <v>242</v>
      </c>
      <c r="C162" s="62"/>
      <c r="D162" s="86"/>
      <c r="E162" s="5">
        <f>SUM(E163:E171)</f>
        <v>62490575.879999995</v>
      </c>
      <c r="F162" s="5">
        <f t="shared" ref="F162:AA162" si="47">SUM(F163:F171)</f>
        <v>0</v>
      </c>
      <c r="G162" s="5">
        <f t="shared" si="47"/>
        <v>0</v>
      </c>
      <c r="H162" s="5">
        <f t="shared" si="47"/>
        <v>0</v>
      </c>
      <c r="I162" s="5">
        <f t="shared" si="47"/>
        <v>0</v>
      </c>
      <c r="J162" s="5">
        <f t="shared" si="47"/>
        <v>7094071.5499999998</v>
      </c>
      <c r="K162" s="5">
        <f t="shared" si="47"/>
        <v>0</v>
      </c>
      <c r="L162" s="157">
        <f t="shared" si="47"/>
        <v>0</v>
      </c>
      <c r="M162" s="5">
        <f t="shared" si="47"/>
        <v>0</v>
      </c>
      <c r="N162" s="5">
        <f t="shared" si="47"/>
        <v>4337.5762589999995</v>
      </c>
      <c r="O162" s="5">
        <f t="shared" si="47"/>
        <v>52771827.770000003</v>
      </c>
      <c r="P162" s="5">
        <f t="shared" si="47"/>
        <v>0</v>
      </c>
      <c r="Q162" s="5">
        <f t="shared" si="47"/>
        <v>0</v>
      </c>
      <c r="R162" s="5">
        <f t="shared" si="47"/>
        <v>0</v>
      </c>
      <c r="S162" s="5">
        <f t="shared" si="47"/>
        <v>0</v>
      </c>
      <c r="T162" s="5">
        <f t="shared" si="47"/>
        <v>0</v>
      </c>
      <c r="U162" s="5">
        <f t="shared" si="47"/>
        <v>0</v>
      </c>
      <c r="V162" s="5">
        <f t="shared" si="47"/>
        <v>0</v>
      </c>
      <c r="W162" s="5">
        <f t="shared" si="47"/>
        <v>0</v>
      </c>
      <c r="X162" s="5">
        <f t="shared" si="47"/>
        <v>0</v>
      </c>
      <c r="Y162" s="5">
        <f t="shared" si="47"/>
        <v>1726688.08</v>
      </c>
      <c r="Z162" s="5">
        <f t="shared" si="47"/>
        <v>897988.48</v>
      </c>
      <c r="AA162" s="5">
        <f t="shared" si="47"/>
        <v>0</v>
      </c>
      <c r="AB162" s="66" t="s">
        <v>423</v>
      </c>
      <c r="AC162" s="66" t="s">
        <v>423</v>
      </c>
      <c r="AD162" s="66" t="s">
        <v>423</v>
      </c>
    </row>
    <row r="163" spans="1:30" x14ac:dyDescent="0.3">
      <c r="A163">
        <v>1</v>
      </c>
      <c r="B163" s="68">
        <f>SUBTOTAL(9,$A$19:A163)</f>
        <v>124</v>
      </c>
      <c r="C163" s="73" t="s">
        <v>227</v>
      </c>
      <c r="D163" s="79" t="s">
        <v>621</v>
      </c>
      <c r="E163" s="65">
        <f t="shared" ref="E163:E171" si="48">F163+G163+H163+I163+J163+K163+M163+O163+Q163+S163+U163+V163+W163+X163+Z163+AA163+Y163</f>
        <v>7712402.0899999999</v>
      </c>
      <c r="F163" s="77">
        <v>0</v>
      </c>
      <c r="G163" s="77">
        <v>0</v>
      </c>
      <c r="H163" s="77">
        <v>0</v>
      </c>
      <c r="I163" s="77">
        <v>0</v>
      </c>
      <c r="J163" s="77">
        <v>0</v>
      </c>
      <c r="K163" s="77">
        <v>0</v>
      </c>
      <c r="L163" s="155">
        <v>0</v>
      </c>
      <c r="M163" s="77">
        <v>0</v>
      </c>
      <c r="N163" s="95">
        <v>610.4</v>
      </c>
      <c r="O163" s="72">
        <v>7437171.3399999999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  <c r="W163" s="77">
        <v>0</v>
      </c>
      <c r="X163" s="77">
        <v>0</v>
      </c>
      <c r="Y163" s="77">
        <v>163673.18</v>
      </c>
      <c r="Z163" s="77">
        <f t="shared" ref="Z163:Z168" si="49">ROUND(O163*1.5%,2)</f>
        <v>111557.57</v>
      </c>
      <c r="AA163" s="77">
        <v>0</v>
      </c>
      <c r="AB163" s="70">
        <v>2026</v>
      </c>
      <c r="AC163" s="70">
        <v>2026</v>
      </c>
      <c r="AD163" s="70">
        <v>2026</v>
      </c>
    </row>
    <row r="164" spans="1:30" x14ac:dyDescent="0.3">
      <c r="A164">
        <v>1</v>
      </c>
      <c r="B164" s="68">
        <f>SUBTOTAL(9,$A$19:A164)</f>
        <v>125</v>
      </c>
      <c r="C164" s="73" t="s">
        <v>228</v>
      </c>
      <c r="D164" s="79" t="s">
        <v>621</v>
      </c>
      <c r="E164" s="65">
        <f t="shared" si="48"/>
        <v>4864423.4000000004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7">
        <v>0</v>
      </c>
      <c r="L164" s="155">
        <v>0</v>
      </c>
      <c r="M164" s="77">
        <v>0</v>
      </c>
      <c r="N164" s="95">
        <v>380.95</v>
      </c>
      <c r="O164" s="72">
        <v>4616722.74</v>
      </c>
      <c r="P164" s="77">
        <v>0</v>
      </c>
      <c r="Q164" s="77">
        <v>0</v>
      </c>
      <c r="R164" s="77">
        <v>0</v>
      </c>
      <c r="S164" s="77">
        <v>0</v>
      </c>
      <c r="T164" s="77">
        <v>0</v>
      </c>
      <c r="U164" s="77">
        <v>0</v>
      </c>
      <c r="V164" s="77">
        <v>0</v>
      </c>
      <c r="W164" s="77">
        <v>0</v>
      </c>
      <c r="X164" s="77">
        <v>0</v>
      </c>
      <c r="Y164" s="77">
        <v>178449.82</v>
      </c>
      <c r="Z164" s="77">
        <f t="shared" si="49"/>
        <v>69250.84</v>
      </c>
      <c r="AA164" s="77">
        <v>0</v>
      </c>
      <c r="AB164" s="70">
        <v>2026</v>
      </c>
      <c r="AC164" s="70">
        <v>2026</v>
      </c>
      <c r="AD164" s="70">
        <v>2026</v>
      </c>
    </row>
    <row r="165" spans="1:30" x14ac:dyDescent="0.3">
      <c r="A165">
        <v>1</v>
      </c>
      <c r="B165" s="68">
        <f>SUBTOTAL(9,$A$19:A165)</f>
        <v>126</v>
      </c>
      <c r="C165" s="73" t="s">
        <v>229</v>
      </c>
      <c r="D165" s="79" t="s">
        <v>621</v>
      </c>
      <c r="E165" s="65">
        <f t="shared" si="48"/>
        <v>4043407.75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155">
        <v>0</v>
      </c>
      <c r="M165" s="77">
        <v>0</v>
      </c>
      <c r="N165" s="95">
        <v>317.33625899999998</v>
      </c>
      <c r="O165" s="72">
        <v>3821111.64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77">
        <v>0</v>
      </c>
      <c r="W165" s="77">
        <v>0</v>
      </c>
      <c r="X165" s="77">
        <v>0</v>
      </c>
      <c r="Y165" s="77">
        <v>164979.44</v>
      </c>
      <c r="Z165" s="77">
        <f t="shared" si="49"/>
        <v>57316.67</v>
      </c>
      <c r="AA165" s="77">
        <v>0</v>
      </c>
      <c r="AB165" s="70">
        <v>2026</v>
      </c>
      <c r="AC165" s="70">
        <v>2026</v>
      </c>
      <c r="AD165" s="70">
        <v>2026</v>
      </c>
    </row>
    <row r="166" spans="1:30" x14ac:dyDescent="0.3">
      <c r="A166">
        <v>1</v>
      </c>
      <c r="B166" s="68">
        <f>SUBTOTAL(9,$A$19:A166)</f>
        <v>127</v>
      </c>
      <c r="C166" s="73" t="s">
        <v>230</v>
      </c>
      <c r="D166" s="79" t="s">
        <v>621</v>
      </c>
      <c r="E166" s="65">
        <f t="shared" si="48"/>
        <v>6518643.0799999991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155">
        <v>0</v>
      </c>
      <c r="M166" s="77">
        <v>0</v>
      </c>
      <c r="N166" s="95">
        <v>515.28</v>
      </c>
      <c r="O166" s="72">
        <v>6247514.3899999997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77">
        <v>0</v>
      </c>
      <c r="W166" s="77">
        <v>0</v>
      </c>
      <c r="X166" s="77">
        <v>0</v>
      </c>
      <c r="Y166" s="77">
        <v>177415.97</v>
      </c>
      <c r="Z166" s="77">
        <f t="shared" si="49"/>
        <v>93712.72</v>
      </c>
      <c r="AA166" s="77">
        <v>0</v>
      </c>
      <c r="AB166" s="70">
        <v>2026</v>
      </c>
      <c r="AC166" s="70">
        <v>2026</v>
      </c>
      <c r="AD166" s="70">
        <v>2026</v>
      </c>
    </row>
    <row r="167" spans="1:30" x14ac:dyDescent="0.3">
      <c r="A167">
        <v>1</v>
      </c>
      <c r="B167" s="68">
        <f>SUBTOTAL(9,$A$19:A167)</f>
        <v>128</v>
      </c>
      <c r="C167" s="73" t="s">
        <v>231</v>
      </c>
      <c r="D167" s="79" t="s">
        <v>621</v>
      </c>
      <c r="E167" s="65">
        <f t="shared" si="48"/>
        <v>4061218.0700000003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7">
        <v>0</v>
      </c>
      <c r="L167" s="155">
        <v>0</v>
      </c>
      <c r="M167" s="77">
        <v>0</v>
      </c>
      <c r="N167" s="95">
        <v>318.89999999999998</v>
      </c>
      <c r="O167" s="72">
        <v>3840669.2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  <c r="W167" s="77">
        <v>0</v>
      </c>
      <c r="X167" s="77">
        <v>0</v>
      </c>
      <c r="Y167" s="77">
        <v>162938.82999999999</v>
      </c>
      <c r="Z167" s="77">
        <f t="shared" si="49"/>
        <v>57610.04</v>
      </c>
      <c r="AA167" s="77">
        <v>0</v>
      </c>
      <c r="AB167" s="70">
        <v>2026</v>
      </c>
      <c r="AC167" s="70">
        <v>2026</v>
      </c>
      <c r="AD167" s="70">
        <v>2026</v>
      </c>
    </row>
    <row r="168" spans="1:30" x14ac:dyDescent="0.3">
      <c r="A168">
        <v>1</v>
      </c>
      <c r="B168" s="68">
        <f>SUBTOTAL(9,$A$19:A168)</f>
        <v>129</v>
      </c>
      <c r="C168" s="73" t="s">
        <v>232</v>
      </c>
      <c r="D168" s="79" t="s">
        <v>621</v>
      </c>
      <c r="E168" s="65">
        <f t="shared" si="48"/>
        <v>9367053.3000000007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155">
        <v>0</v>
      </c>
      <c r="M168" s="77">
        <v>0</v>
      </c>
      <c r="N168" s="95">
        <v>737.43</v>
      </c>
      <c r="O168" s="72">
        <v>9025923.6500000004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  <c r="W168" s="77">
        <v>0</v>
      </c>
      <c r="X168" s="77">
        <v>0</v>
      </c>
      <c r="Y168" s="77">
        <v>205740.79999999999</v>
      </c>
      <c r="Z168" s="77">
        <f t="shared" si="49"/>
        <v>135388.85</v>
      </c>
      <c r="AA168" s="77">
        <v>0</v>
      </c>
      <c r="AB168" s="70">
        <v>2026</v>
      </c>
      <c r="AC168" s="70">
        <v>2026</v>
      </c>
      <c r="AD168" s="70">
        <v>2026</v>
      </c>
    </row>
    <row r="169" spans="1:30" x14ac:dyDescent="0.3">
      <c r="A169">
        <v>1</v>
      </c>
      <c r="B169" s="68">
        <f>SUBTOTAL(9,$A$19:A169)</f>
        <v>130</v>
      </c>
      <c r="C169" s="73" t="s">
        <v>587</v>
      </c>
      <c r="D169" s="79" t="s">
        <v>621</v>
      </c>
      <c r="E169" s="65">
        <f t="shared" si="48"/>
        <v>7452578.6799999997</v>
      </c>
      <c r="F169" s="77">
        <v>0</v>
      </c>
      <c r="G169" s="77">
        <v>0</v>
      </c>
      <c r="H169" s="77">
        <v>0</v>
      </c>
      <c r="I169" s="77">
        <v>0</v>
      </c>
      <c r="J169" s="77">
        <f>7321544.06-227472.51</f>
        <v>7094071.5499999998</v>
      </c>
      <c r="K169" s="77">
        <v>0</v>
      </c>
      <c r="L169" s="155">
        <v>0</v>
      </c>
      <c r="M169" s="77">
        <v>0</v>
      </c>
      <c r="N169" s="95">
        <v>0</v>
      </c>
      <c r="O169" s="95">
        <v>0</v>
      </c>
      <c r="P169" s="95">
        <v>0</v>
      </c>
      <c r="Q169" s="95">
        <v>0</v>
      </c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5">
        <v>0</v>
      </c>
      <c r="X169" s="95">
        <v>0</v>
      </c>
      <c r="Y169" s="95">
        <v>252096.06</v>
      </c>
      <c r="Z169" s="95">
        <f>ROUND(J169*1.5%,2)</f>
        <v>106411.07</v>
      </c>
      <c r="AA169" s="95">
        <v>0</v>
      </c>
      <c r="AB169" s="70">
        <v>2026</v>
      </c>
      <c r="AC169" s="70">
        <v>2026</v>
      </c>
      <c r="AD169" s="70">
        <v>2026</v>
      </c>
    </row>
    <row r="170" spans="1:30" x14ac:dyDescent="0.3">
      <c r="A170">
        <v>1</v>
      </c>
      <c r="B170" s="68">
        <f>SUBTOTAL(9,$A$19:A170)</f>
        <v>131</v>
      </c>
      <c r="C170" s="73" t="s">
        <v>588</v>
      </c>
      <c r="D170" s="79" t="s">
        <v>621</v>
      </c>
      <c r="E170" s="65">
        <f t="shared" si="48"/>
        <v>8409942.5600000005</v>
      </c>
      <c r="F170" s="77">
        <v>0</v>
      </c>
      <c r="G170" s="77">
        <v>0</v>
      </c>
      <c r="H170" s="77">
        <v>0</v>
      </c>
      <c r="I170" s="77">
        <v>0</v>
      </c>
      <c r="J170" s="77">
        <v>0</v>
      </c>
      <c r="K170" s="77">
        <v>0</v>
      </c>
      <c r="L170" s="155">
        <v>0</v>
      </c>
      <c r="M170" s="77">
        <v>0</v>
      </c>
      <c r="N170" s="95">
        <v>664.74</v>
      </c>
      <c r="O170" s="95">
        <v>8116796.6299999999</v>
      </c>
      <c r="P170" s="95">
        <v>0</v>
      </c>
      <c r="Q170" s="95">
        <v>0</v>
      </c>
      <c r="R170" s="95">
        <v>0</v>
      </c>
      <c r="S170" s="95">
        <v>0</v>
      </c>
      <c r="T170" s="95">
        <v>0</v>
      </c>
      <c r="U170" s="95">
        <v>0</v>
      </c>
      <c r="V170" s="95">
        <v>0</v>
      </c>
      <c r="W170" s="95">
        <v>0</v>
      </c>
      <c r="X170" s="95">
        <v>0</v>
      </c>
      <c r="Y170" s="95">
        <v>171393.98</v>
      </c>
      <c r="Z170" s="95">
        <f>ROUND(O170*1.5%,2)</f>
        <v>121751.95</v>
      </c>
      <c r="AA170" s="95">
        <v>0</v>
      </c>
      <c r="AB170" s="70">
        <v>2026</v>
      </c>
      <c r="AC170" s="70">
        <v>2026</v>
      </c>
      <c r="AD170" s="70">
        <v>2026</v>
      </c>
    </row>
    <row r="171" spans="1:30" x14ac:dyDescent="0.3">
      <c r="A171">
        <v>1</v>
      </c>
      <c r="B171" s="68">
        <f>SUBTOTAL(9,$A$19:A171)</f>
        <v>132</v>
      </c>
      <c r="C171" s="73" t="s">
        <v>717</v>
      </c>
      <c r="D171" s="79"/>
      <c r="E171" s="65">
        <f t="shared" si="48"/>
        <v>10060906.949999999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7">
        <v>0</v>
      </c>
      <c r="L171" s="155">
        <v>0</v>
      </c>
      <c r="M171" s="77">
        <v>0</v>
      </c>
      <c r="N171" s="95">
        <v>792.54</v>
      </c>
      <c r="O171" s="95">
        <v>9665918.1799999997</v>
      </c>
      <c r="P171" s="95">
        <v>0</v>
      </c>
      <c r="Q171" s="95">
        <v>0</v>
      </c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5">
        <v>0</v>
      </c>
      <c r="X171" s="95">
        <v>0</v>
      </c>
      <c r="Y171" s="95">
        <v>250000</v>
      </c>
      <c r="Z171" s="95">
        <f>ROUND(O171*1.5%,2)</f>
        <v>144988.76999999999</v>
      </c>
      <c r="AA171" s="95">
        <v>0</v>
      </c>
      <c r="AB171" s="70">
        <v>2026</v>
      </c>
      <c r="AC171" s="70">
        <v>2026</v>
      </c>
      <c r="AD171" s="70">
        <v>2026</v>
      </c>
    </row>
    <row r="172" spans="1:30" x14ac:dyDescent="0.3">
      <c r="B172" s="62" t="s">
        <v>670</v>
      </c>
      <c r="C172" s="62"/>
      <c r="D172" s="86"/>
      <c r="E172" s="5">
        <f>E173+E174+E175+E176+E177</f>
        <v>36611300.780000001</v>
      </c>
      <c r="F172" s="5">
        <f t="shared" ref="F172:AA172" si="50">F173+F174+F175+F176+F177</f>
        <v>0</v>
      </c>
      <c r="G172" s="5">
        <f t="shared" si="50"/>
        <v>0</v>
      </c>
      <c r="H172" s="5">
        <f t="shared" si="50"/>
        <v>0</v>
      </c>
      <c r="I172" s="5">
        <f t="shared" si="50"/>
        <v>0</v>
      </c>
      <c r="J172" s="5">
        <f t="shared" si="50"/>
        <v>0</v>
      </c>
      <c r="K172" s="5">
        <f t="shared" si="50"/>
        <v>0</v>
      </c>
      <c r="L172" s="155">
        <f t="shared" si="50"/>
        <v>0</v>
      </c>
      <c r="M172" s="5">
        <f t="shared" si="50"/>
        <v>0</v>
      </c>
      <c r="N172" s="5">
        <f t="shared" si="50"/>
        <v>2317</v>
      </c>
      <c r="O172" s="5">
        <f t="shared" si="50"/>
        <v>32167234.850000001</v>
      </c>
      <c r="P172" s="5">
        <f t="shared" si="50"/>
        <v>0</v>
      </c>
      <c r="Q172" s="5">
        <f t="shared" si="50"/>
        <v>0</v>
      </c>
      <c r="R172" s="5">
        <f t="shared" si="50"/>
        <v>608</v>
      </c>
      <c r="S172" s="5">
        <f t="shared" si="50"/>
        <v>3193652.62</v>
      </c>
      <c r="T172" s="5">
        <f t="shared" si="50"/>
        <v>0</v>
      </c>
      <c r="U172" s="5">
        <f t="shared" si="50"/>
        <v>0</v>
      </c>
      <c r="V172" s="5">
        <f t="shared" si="50"/>
        <v>0</v>
      </c>
      <c r="W172" s="5">
        <f t="shared" si="50"/>
        <v>0</v>
      </c>
      <c r="X172" s="5">
        <f t="shared" si="50"/>
        <v>0</v>
      </c>
      <c r="Y172" s="5">
        <f t="shared" si="50"/>
        <v>600000</v>
      </c>
      <c r="Z172" s="5">
        <f t="shared" si="50"/>
        <v>530413.31000000006</v>
      </c>
      <c r="AA172" s="5">
        <f t="shared" si="50"/>
        <v>120000</v>
      </c>
      <c r="AB172" s="66" t="s">
        <v>423</v>
      </c>
      <c r="AC172" s="66" t="s">
        <v>423</v>
      </c>
      <c r="AD172" s="66" t="s">
        <v>423</v>
      </c>
    </row>
    <row r="173" spans="1:30" s="82" customFormat="1" x14ac:dyDescent="0.3">
      <c r="A173">
        <v>1</v>
      </c>
      <c r="B173" s="68">
        <f>SUBTOTAL(9,$A$19:A173)</f>
        <v>133</v>
      </c>
      <c r="C173" s="96" t="s">
        <v>607</v>
      </c>
      <c r="D173" s="97" t="s">
        <v>622</v>
      </c>
      <c r="E173" s="72">
        <f t="shared" ref="E173" si="51">F173+G173+H173+I173+J173+K173+M173+O173+Q173+S173+U173+V173+W173+X173+Y173+Z173+AA173</f>
        <v>3361557.41</v>
      </c>
      <c r="F173" s="76">
        <v>0</v>
      </c>
      <c r="G173" s="76">
        <v>0</v>
      </c>
      <c r="H173" s="76">
        <v>0</v>
      </c>
      <c r="I173" s="76">
        <v>0</v>
      </c>
      <c r="J173" s="76">
        <v>0</v>
      </c>
      <c r="K173" s="76">
        <v>0</v>
      </c>
      <c r="L173" s="154">
        <v>0</v>
      </c>
      <c r="M173" s="76">
        <v>0</v>
      </c>
      <c r="N173" s="72">
        <v>0</v>
      </c>
      <c r="O173" s="72">
        <v>0</v>
      </c>
      <c r="P173" s="76">
        <v>0</v>
      </c>
      <c r="Q173" s="76">
        <v>0</v>
      </c>
      <c r="R173" s="76">
        <v>608</v>
      </c>
      <c r="S173" s="72">
        <f>2924197.22+269455.4</f>
        <v>3193652.62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2">
        <v>0</v>
      </c>
      <c r="Z173" s="72">
        <f>ROUND(S173*1.5%,2)</f>
        <v>47904.79</v>
      </c>
      <c r="AA173" s="76">
        <v>120000</v>
      </c>
      <c r="AB173" s="59" t="s">
        <v>426</v>
      </c>
      <c r="AC173" s="59">
        <v>2026</v>
      </c>
      <c r="AD173" s="59">
        <v>2026</v>
      </c>
    </row>
    <row r="174" spans="1:30" x14ac:dyDescent="0.3">
      <c r="A174">
        <v>1</v>
      </c>
      <c r="B174" s="68">
        <f>SUBTOTAL(9,$A$19:A174)</f>
        <v>134</v>
      </c>
      <c r="C174" s="73" t="s">
        <v>244</v>
      </c>
      <c r="D174" s="79" t="s">
        <v>622</v>
      </c>
      <c r="E174" s="65">
        <f>F174+G174+H174+I174+J174+K174+M174+O174+Q174+S174+U174+V174+W174+X174+Z174+AA174+Y174</f>
        <v>6677312.2599999998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7">
        <v>0</v>
      </c>
      <c r="L174" s="155">
        <v>0</v>
      </c>
      <c r="M174" s="77">
        <v>0</v>
      </c>
      <c r="N174" s="89">
        <v>526</v>
      </c>
      <c r="O174" s="72">
        <v>6381588.4299999997</v>
      </c>
      <c r="P174" s="77">
        <v>0</v>
      </c>
      <c r="Q174" s="77">
        <v>0</v>
      </c>
      <c r="R174" s="77">
        <v>0</v>
      </c>
      <c r="S174" s="77">
        <v>0</v>
      </c>
      <c r="T174" s="77">
        <v>0</v>
      </c>
      <c r="U174" s="77">
        <v>0</v>
      </c>
      <c r="V174" s="77">
        <v>0</v>
      </c>
      <c r="W174" s="77">
        <v>0</v>
      </c>
      <c r="X174" s="77">
        <v>0</v>
      </c>
      <c r="Y174" s="77">
        <v>200000</v>
      </c>
      <c r="Z174" s="77">
        <f>ROUND(O174*1.5%,2)</f>
        <v>95723.83</v>
      </c>
      <c r="AA174" s="77">
        <v>0</v>
      </c>
      <c r="AB174" s="70">
        <v>2026</v>
      </c>
      <c r="AC174" s="70">
        <v>2026</v>
      </c>
      <c r="AD174" s="70">
        <v>2026</v>
      </c>
    </row>
    <row r="175" spans="1:30" x14ac:dyDescent="0.3">
      <c r="A175">
        <v>1</v>
      </c>
      <c r="B175" s="68">
        <f>SUBTOTAL(9,$A$19:A175)</f>
        <v>135</v>
      </c>
      <c r="C175" s="73" t="s">
        <v>245</v>
      </c>
      <c r="D175" s="79" t="s">
        <v>622</v>
      </c>
      <c r="E175" s="65">
        <f t="shared" ref="E175" si="52">F175+G175+H175+I175+J175+K175+M175+O175+Q175+S175+U175+V175+W175+X175+Z175+AA175+Y175</f>
        <v>13690580.75</v>
      </c>
      <c r="F175" s="77">
        <v>0</v>
      </c>
      <c r="G175" s="77">
        <v>0</v>
      </c>
      <c r="H175" s="77">
        <v>0</v>
      </c>
      <c r="I175" s="77">
        <v>0</v>
      </c>
      <c r="J175" s="77">
        <v>0</v>
      </c>
      <c r="K175" s="77">
        <v>0</v>
      </c>
      <c r="L175" s="155">
        <v>0</v>
      </c>
      <c r="M175" s="77">
        <v>0</v>
      </c>
      <c r="N175" s="89">
        <v>762.5</v>
      </c>
      <c r="O175" s="72">
        <v>13291212.560000001</v>
      </c>
      <c r="P175" s="77">
        <v>0</v>
      </c>
      <c r="Q175" s="77">
        <v>0</v>
      </c>
      <c r="R175" s="77">
        <v>0</v>
      </c>
      <c r="S175" s="77">
        <v>0</v>
      </c>
      <c r="T175" s="77">
        <v>0</v>
      </c>
      <c r="U175" s="77">
        <v>0</v>
      </c>
      <c r="V175" s="77">
        <v>0</v>
      </c>
      <c r="W175" s="77">
        <v>0</v>
      </c>
      <c r="X175" s="77">
        <v>0</v>
      </c>
      <c r="Y175" s="77">
        <v>200000</v>
      </c>
      <c r="Z175" s="77">
        <f t="shared" ref="Z175" si="53">ROUND(O175*1.5%,2)</f>
        <v>199368.19</v>
      </c>
      <c r="AA175" s="77">
        <v>0</v>
      </c>
      <c r="AB175" s="70">
        <v>2026</v>
      </c>
      <c r="AC175" s="70">
        <v>2026</v>
      </c>
      <c r="AD175" s="70">
        <v>2026</v>
      </c>
    </row>
    <row r="176" spans="1:30" x14ac:dyDescent="0.3">
      <c r="A176">
        <v>1</v>
      </c>
      <c r="B176" s="68">
        <f>SUBTOTAL(9,$A$19:A176)</f>
        <v>136</v>
      </c>
      <c r="C176" s="73" t="s">
        <v>246</v>
      </c>
      <c r="D176" s="79" t="s">
        <v>622</v>
      </c>
      <c r="E176" s="65">
        <f>F176+G176+H176+I176+J176+K176+M176+O176+Q176+S176+U176+V176+W176+X176+Z176+AA176+Y176</f>
        <v>8400688.3300000001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7">
        <v>0</v>
      </c>
      <c r="L176" s="155">
        <v>0</v>
      </c>
      <c r="M176" s="77">
        <v>0</v>
      </c>
      <c r="N176" s="72">
        <v>675.5</v>
      </c>
      <c r="O176" s="72">
        <v>8276540.2300000004</v>
      </c>
      <c r="P176" s="77">
        <v>0</v>
      </c>
      <c r="Q176" s="77">
        <v>0</v>
      </c>
      <c r="R176" s="77">
        <v>0</v>
      </c>
      <c r="S176" s="77">
        <v>0</v>
      </c>
      <c r="T176" s="77">
        <v>0</v>
      </c>
      <c r="U176" s="77">
        <v>0</v>
      </c>
      <c r="V176" s="77">
        <v>0</v>
      </c>
      <c r="W176" s="77">
        <v>0</v>
      </c>
      <c r="X176" s="77">
        <v>0</v>
      </c>
      <c r="Y176" s="72">
        <v>0</v>
      </c>
      <c r="Z176" s="77">
        <f>ROUND(O176*1.5%,2)</f>
        <v>124148.1</v>
      </c>
      <c r="AA176" s="77">
        <v>0</v>
      </c>
      <c r="AB176" s="66" t="s">
        <v>426</v>
      </c>
      <c r="AC176" s="70">
        <v>2026</v>
      </c>
      <c r="AD176" s="70">
        <v>2026</v>
      </c>
    </row>
    <row r="177" spans="1:31" x14ac:dyDescent="0.3">
      <c r="A177">
        <v>1</v>
      </c>
      <c r="B177" s="68">
        <f>SUBTOTAL(9,$A$19:A177)</f>
        <v>137</v>
      </c>
      <c r="C177" s="73" t="s">
        <v>668</v>
      </c>
      <c r="D177" s="79" t="s">
        <v>622</v>
      </c>
      <c r="E177" s="72">
        <f t="shared" ref="E177" si="54">F177+G177+H177+I177+J177+K177+M177+O177+Q177+S177+U177+V177+W177+X177+Y177+Z177+AA177</f>
        <v>4481162.03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7">
        <v>0</v>
      </c>
      <c r="L177" s="155">
        <v>0</v>
      </c>
      <c r="M177" s="77">
        <v>0</v>
      </c>
      <c r="N177" s="72">
        <v>353</v>
      </c>
      <c r="O177" s="72">
        <v>4217893.63</v>
      </c>
      <c r="P177" s="77">
        <v>0</v>
      </c>
      <c r="Q177" s="77">
        <v>0</v>
      </c>
      <c r="R177" s="77">
        <v>0</v>
      </c>
      <c r="S177" s="77">
        <v>0</v>
      </c>
      <c r="T177" s="77">
        <v>0</v>
      </c>
      <c r="U177" s="77">
        <v>0</v>
      </c>
      <c r="V177" s="77">
        <v>0</v>
      </c>
      <c r="W177" s="77">
        <v>0</v>
      </c>
      <c r="X177" s="77">
        <v>0</v>
      </c>
      <c r="Y177" s="72">
        <v>200000</v>
      </c>
      <c r="Z177" s="77">
        <f>ROUND(O177*1.5%,2)</f>
        <v>63268.4</v>
      </c>
      <c r="AA177" s="77">
        <v>0</v>
      </c>
      <c r="AB177" s="70">
        <v>2026</v>
      </c>
      <c r="AC177" s="70">
        <v>2026</v>
      </c>
      <c r="AD177" s="70">
        <v>2026</v>
      </c>
    </row>
    <row r="178" spans="1:31" x14ac:dyDescent="0.3">
      <c r="B178" s="62" t="s">
        <v>264</v>
      </c>
      <c r="C178" s="62"/>
      <c r="D178" s="86"/>
      <c r="E178" s="5">
        <f>E179</f>
        <v>12186729.6</v>
      </c>
      <c r="F178" s="77">
        <f t="shared" ref="F178:AA178" si="55">F179</f>
        <v>0</v>
      </c>
      <c r="G178" s="77">
        <f t="shared" si="55"/>
        <v>0</v>
      </c>
      <c r="H178" s="77">
        <f t="shared" si="55"/>
        <v>0</v>
      </c>
      <c r="I178" s="77">
        <f t="shared" si="55"/>
        <v>0</v>
      </c>
      <c r="J178" s="77">
        <f t="shared" si="55"/>
        <v>0</v>
      </c>
      <c r="K178" s="77">
        <f t="shared" si="55"/>
        <v>0</v>
      </c>
      <c r="L178" s="155">
        <f t="shared" si="55"/>
        <v>0</v>
      </c>
      <c r="M178" s="77">
        <f t="shared" si="55"/>
        <v>0</v>
      </c>
      <c r="N178" s="77">
        <f t="shared" si="55"/>
        <v>960</v>
      </c>
      <c r="O178" s="77">
        <f t="shared" si="55"/>
        <v>11798146.890000001</v>
      </c>
      <c r="P178" s="77">
        <f t="shared" si="55"/>
        <v>0</v>
      </c>
      <c r="Q178" s="77">
        <f t="shared" si="55"/>
        <v>0</v>
      </c>
      <c r="R178" s="77">
        <f t="shared" si="55"/>
        <v>0</v>
      </c>
      <c r="S178" s="77">
        <f t="shared" si="55"/>
        <v>0</v>
      </c>
      <c r="T178" s="77">
        <f t="shared" si="55"/>
        <v>0</v>
      </c>
      <c r="U178" s="77">
        <f t="shared" si="55"/>
        <v>0</v>
      </c>
      <c r="V178" s="77">
        <f t="shared" si="55"/>
        <v>0</v>
      </c>
      <c r="W178" s="77">
        <f t="shared" si="55"/>
        <v>0</v>
      </c>
      <c r="X178" s="77">
        <f t="shared" si="55"/>
        <v>0</v>
      </c>
      <c r="Y178" s="77">
        <f t="shared" si="55"/>
        <v>211610.51</v>
      </c>
      <c r="Z178" s="77">
        <f t="shared" si="55"/>
        <v>176972.2</v>
      </c>
      <c r="AA178" s="77">
        <f t="shared" si="55"/>
        <v>0</v>
      </c>
      <c r="AB178" s="66" t="s">
        <v>423</v>
      </c>
      <c r="AC178" s="66" t="s">
        <v>423</v>
      </c>
      <c r="AD178" s="66" t="s">
        <v>423</v>
      </c>
    </row>
    <row r="179" spans="1:31" ht="17.25" customHeight="1" x14ac:dyDescent="0.3">
      <c r="A179">
        <v>1</v>
      </c>
      <c r="B179" s="68">
        <f>SUBTOTAL(9,$A$19:A179)</f>
        <v>138</v>
      </c>
      <c r="C179" s="73" t="s">
        <v>257</v>
      </c>
      <c r="D179" s="79" t="s">
        <v>623</v>
      </c>
      <c r="E179" s="65">
        <f>F179+G179+H179+I179+J179+K179+M179+O179+Q179+S179+U179+V179+W179+X179+Z179+AA179+Y179</f>
        <v>12186729.6</v>
      </c>
      <c r="F179" s="77">
        <v>0</v>
      </c>
      <c r="G179" s="77">
        <v>0</v>
      </c>
      <c r="H179" s="77">
        <v>0</v>
      </c>
      <c r="I179" s="77">
        <v>0</v>
      </c>
      <c r="J179" s="77">
        <v>0</v>
      </c>
      <c r="K179" s="77">
        <v>0</v>
      </c>
      <c r="L179" s="155">
        <v>0</v>
      </c>
      <c r="M179" s="77">
        <v>0</v>
      </c>
      <c r="N179" s="72">
        <v>960</v>
      </c>
      <c r="O179" s="72">
        <v>11798146.890000001</v>
      </c>
      <c r="P179" s="77">
        <v>0</v>
      </c>
      <c r="Q179" s="77">
        <v>0</v>
      </c>
      <c r="R179" s="77">
        <v>0</v>
      </c>
      <c r="S179" s="77">
        <v>0</v>
      </c>
      <c r="T179" s="77">
        <v>0</v>
      </c>
      <c r="U179" s="77">
        <v>0</v>
      </c>
      <c r="V179" s="77">
        <v>0</v>
      </c>
      <c r="W179" s="77">
        <v>0</v>
      </c>
      <c r="X179" s="77">
        <v>0</v>
      </c>
      <c r="Y179" s="72">
        <v>211610.51</v>
      </c>
      <c r="Z179" s="77">
        <f>ROUND(O179*1.5%,2)</f>
        <v>176972.2</v>
      </c>
      <c r="AA179" s="77">
        <v>0</v>
      </c>
      <c r="AB179" s="70">
        <v>2026</v>
      </c>
      <c r="AC179" s="70">
        <v>2026</v>
      </c>
      <c r="AD179" s="70">
        <v>2026</v>
      </c>
    </row>
    <row r="180" spans="1:31" x14ac:dyDescent="0.3">
      <c r="B180" s="62" t="s">
        <v>265</v>
      </c>
      <c r="C180" s="62"/>
      <c r="D180" s="86"/>
      <c r="E180" s="5">
        <f>E181+E182+E183</f>
        <v>8962475.1999999993</v>
      </c>
      <c r="F180" s="77">
        <f t="shared" ref="F180:AA180" si="56">F181+F182+F183</f>
        <v>0</v>
      </c>
      <c r="G180" s="77">
        <f t="shared" si="56"/>
        <v>0</v>
      </c>
      <c r="H180" s="77">
        <f t="shared" si="56"/>
        <v>0</v>
      </c>
      <c r="I180" s="77">
        <f t="shared" si="56"/>
        <v>0</v>
      </c>
      <c r="J180" s="77">
        <f t="shared" si="56"/>
        <v>0</v>
      </c>
      <c r="K180" s="77">
        <f t="shared" si="56"/>
        <v>0</v>
      </c>
      <c r="L180" s="155">
        <f t="shared" si="56"/>
        <v>0</v>
      </c>
      <c r="M180" s="77">
        <f t="shared" si="56"/>
        <v>0</v>
      </c>
      <c r="N180" s="77">
        <f t="shared" si="56"/>
        <v>819.3</v>
      </c>
      <c r="O180" s="77">
        <f t="shared" si="56"/>
        <v>8273786.370000001</v>
      </c>
      <c r="P180" s="77">
        <f t="shared" si="56"/>
        <v>0</v>
      </c>
      <c r="Q180" s="77">
        <f t="shared" si="56"/>
        <v>0</v>
      </c>
      <c r="R180" s="77">
        <f t="shared" si="56"/>
        <v>0</v>
      </c>
      <c r="S180" s="77">
        <f t="shared" si="56"/>
        <v>0</v>
      </c>
      <c r="T180" s="77">
        <f t="shared" si="56"/>
        <v>0</v>
      </c>
      <c r="U180" s="77">
        <f t="shared" si="56"/>
        <v>0</v>
      </c>
      <c r="V180" s="77">
        <f t="shared" si="56"/>
        <v>0</v>
      </c>
      <c r="W180" s="77">
        <f t="shared" si="56"/>
        <v>0</v>
      </c>
      <c r="X180" s="77">
        <f t="shared" si="56"/>
        <v>0</v>
      </c>
      <c r="Y180" s="77">
        <f t="shared" si="56"/>
        <v>204582.04</v>
      </c>
      <c r="Z180" s="77">
        <f t="shared" si="56"/>
        <v>124106.79000000001</v>
      </c>
      <c r="AA180" s="77">
        <f t="shared" si="56"/>
        <v>360000</v>
      </c>
      <c r="AB180" s="66" t="s">
        <v>423</v>
      </c>
      <c r="AC180" s="66" t="s">
        <v>423</v>
      </c>
      <c r="AD180" s="66" t="s">
        <v>423</v>
      </c>
    </row>
    <row r="181" spans="1:31" x14ac:dyDescent="0.3">
      <c r="A181">
        <v>1</v>
      </c>
      <c r="B181" s="68">
        <f>SUBTOTAL(9,$A$19:A181)</f>
        <v>139</v>
      </c>
      <c r="C181" s="73" t="s">
        <v>413</v>
      </c>
      <c r="D181" s="79" t="s">
        <v>623</v>
      </c>
      <c r="E181" s="72">
        <f t="shared" ref="E181:E183" si="57">F181+G181+H181+I181+J181+K181+M181+O181+Q181+S181+U181+V181+W181+X181+Y181+Z181+AA181</f>
        <v>2281545</v>
      </c>
      <c r="F181" s="77">
        <v>0</v>
      </c>
      <c r="G181" s="77">
        <v>0</v>
      </c>
      <c r="H181" s="77">
        <v>0</v>
      </c>
      <c r="I181" s="77">
        <v>0</v>
      </c>
      <c r="J181" s="77">
        <v>0</v>
      </c>
      <c r="K181" s="77">
        <v>0</v>
      </c>
      <c r="L181" s="155">
        <v>0</v>
      </c>
      <c r="M181" s="77">
        <v>0</v>
      </c>
      <c r="N181" s="72">
        <v>181</v>
      </c>
      <c r="O181" s="72">
        <v>1928042.33</v>
      </c>
      <c r="P181" s="77">
        <v>0</v>
      </c>
      <c r="Q181" s="77">
        <v>0</v>
      </c>
      <c r="R181" s="77">
        <v>0</v>
      </c>
      <c r="S181" s="77">
        <v>0</v>
      </c>
      <c r="T181" s="77">
        <v>0</v>
      </c>
      <c r="U181" s="77">
        <v>0</v>
      </c>
      <c r="V181" s="77">
        <v>0</v>
      </c>
      <c r="W181" s="77">
        <v>0</v>
      </c>
      <c r="X181" s="77">
        <v>0</v>
      </c>
      <c r="Y181" s="72">
        <v>204582.04</v>
      </c>
      <c r="Z181" s="72">
        <f>ROUND(O181*1.5%,2)</f>
        <v>28920.63</v>
      </c>
      <c r="AA181" s="77">
        <v>120000</v>
      </c>
      <c r="AB181" s="70">
        <v>2026</v>
      </c>
      <c r="AC181" s="70">
        <v>2026</v>
      </c>
      <c r="AD181" s="70">
        <v>2026</v>
      </c>
    </row>
    <row r="182" spans="1:31" s="82" customFormat="1" x14ac:dyDescent="0.3">
      <c r="A182">
        <v>1</v>
      </c>
      <c r="B182" s="68">
        <f>SUBTOTAL(9,$A$19:A182)</f>
        <v>140</v>
      </c>
      <c r="C182" s="78" t="s">
        <v>660</v>
      </c>
      <c r="D182" s="79" t="s">
        <v>623</v>
      </c>
      <c r="E182" s="72">
        <f t="shared" si="57"/>
        <v>2600226.16</v>
      </c>
      <c r="F182" s="76">
        <v>0</v>
      </c>
      <c r="G182" s="76">
        <v>0</v>
      </c>
      <c r="H182" s="76">
        <v>0</v>
      </c>
      <c r="I182" s="76">
        <v>0</v>
      </c>
      <c r="J182" s="76">
        <v>0</v>
      </c>
      <c r="K182" s="76">
        <v>0</v>
      </c>
      <c r="L182" s="154">
        <v>0</v>
      </c>
      <c r="M182" s="76">
        <v>0</v>
      </c>
      <c r="N182" s="65">
        <v>248</v>
      </c>
      <c r="O182" s="76">
        <f>2194086.58+249485.99</f>
        <v>2443572.5700000003</v>
      </c>
      <c r="P182" s="65">
        <v>0</v>
      </c>
      <c r="Q182" s="76">
        <v>0</v>
      </c>
      <c r="R182" s="65">
        <v>0</v>
      </c>
      <c r="S182" s="76">
        <v>0</v>
      </c>
      <c r="T182" s="65">
        <v>0</v>
      </c>
      <c r="U182" s="76">
        <v>0</v>
      </c>
      <c r="V182" s="65">
        <v>0</v>
      </c>
      <c r="W182" s="76">
        <v>0</v>
      </c>
      <c r="X182" s="76">
        <v>0</v>
      </c>
      <c r="Y182" s="72">
        <v>0</v>
      </c>
      <c r="Z182" s="74">
        <f>ROUND(O182*1.5%,2)</f>
        <v>36653.589999999997</v>
      </c>
      <c r="AA182" s="76">
        <v>120000</v>
      </c>
      <c r="AB182" s="59" t="s">
        <v>426</v>
      </c>
      <c r="AC182" s="92">
        <v>2026</v>
      </c>
      <c r="AD182" s="92">
        <v>2026</v>
      </c>
      <c r="AE182" s="85"/>
    </row>
    <row r="183" spans="1:31" s="82" customFormat="1" x14ac:dyDescent="0.3">
      <c r="A183">
        <v>1</v>
      </c>
      <c r="B183" s="68">
        <f>SUBTOTAL(9,$A$19:A183)</f>
        <v>141</v>
      </c>
      <c r="C183" s="78" t="s">
        <v>661</v>
      </c>
      <c r="D183" s="88" t="s">
        <v>623</v>
      </c>
      <c r="E183" s="72">
        <f t="shared" si="57"/>
        <v>4080704.04</v>
      </c>
      <c r="F183" s="76">
        <v>0</v>
      </c>
      <c r="G183" s="76">
        <v>0</v>
      </c>
      <c r="H183" s="76">
        <v>0</v>
      </c>
      <c r="I183" s="76">
        <v>0</v>
      </c>
      <c r="J183" s="76">
        <v>0</v>
      </c>
      <c r="K183" s="76">
        <v>0</v>
      </c>
      <c r="L183" s="154">
        <v>0</v>
      </c>
      <c r="M183" s="76">
        <v>0</v>
      </c>
      <c r="N183" s="81">
        <v>390.3</v>
      </c>
      <c r="O183" s="72">
        <v>3902171.47</v>
      </c>
      <c r="P183" s="76">
        <v>0</v>
      </c>
      <c r="Q183" s="76">
        <v>0</v>
      </c>
      <c r="R183" s="72">
        <v>0</v>
      </c>
      <c r="S183" s="72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  <c r="Y183" s="72">
        <v>0</v>
      </c>
      <c r="Z183" s="72">
        <f>ROUND(O183*1.5%,2)</f>
        <v>58532.57</v>
      </c>
      <c r="AA183" s="76">
        <v>120000</v>
      </c>
      <c r="AB183" s="59" t="s">
        <v>426</v>
      </c>
      <c r="AC183" s="92">
        <v>2026</v>
      </c>
      <c r="AD183" s="92">
        <v>2026</v>
      </c>
      <c r="AE183" s="85"/>
    </row>
    <row r="184" spans="1:31" x14ac:dyDescent="0.3">
      <c r="B184" s="62" t="s">
        <v>696</v>
      </c>
      <c r="C184" s="62"/>
      <c r="D184" s="86"/>
      <c r="E184" s="5">
        <f>SUM(E185:E186)</f>
        <v>22647005.84</v>
      </c>
      <c r="F184" s="77">
        <f t="shared" ref="F184:AA184" si="58">SUM(F185:F186)</f>
        <v>0</v>
      </c>
      <c r="G184" s="77">
        <f t="shared" si="58"/>
        <v>0</v>
      </c>
      <c r="H184" s="77">
        <f t="shared" si="58"/>
        <v>0</v>
      </c>
      <c r="I184" s="77">
        <f t="shared" si="58"/>
        <v>0</v>
      </c>
      <c r="J184" s="77">
        <f t="shared" si="58"/>
        <v>0</v>
      </c>
      <c r="K184" s="77">
        <f t="shared" si="58"/>
        <v>0</v>
      </c>
      <c r="L184" s="155">
        <f t="shared" si="58"/>
        <v>0</v>
      </c>
      <c r="M184" s="77">
        <f t="shared" si="58"/>
        <v>0</v>
      </c>
      <c r="N184" s="77">
        <f t="shared" si="58"/>
        <v>1784</v>
      </c>
      <c r="O184" s="77">
        <f t="shared" si="58"/>
        <v>22115276.689999998</v>
      </c>
      <c r="P184" s="77">
        <f t="shared" si="58"/>
        <v>0</v>
      </c>
      <c r="Q184" s="77">
        <f t="shared" si="58"/>
        <v>0</v>
      </c>
      <c r="R184" s="77">
        <f t="shared" si="58"/>
        <v>0</v>
      </c>
      <c r="S184" s="77">
        <f t="shared" si="58"/>
        <v>0</v>
      </c>
      <c r="T184" s="77">
        <f t="shared" si="58"/>
        <v>0</v>
      </c>
      <c r="U184" s="77">
        <f t="shared" si="58"/>
        <v>0</v>
      </c>
      <c r="V184" s="77">
        <f t="shared" si="58"/>
        <v>0</v>
      </c>
      <c r="W184" s="77">
        <f t="shared" si="58"/>
        <v>0</v>
      </c>
      <c r="X184" s="77">
        <f t="shared" si="58"/>
        <v>0</v>
      </c>
      <c r="Y184" s="77">
        <f t="shared" si="58"/>
        <v>200000</v>
      </c>
      <c r="Z184" s="77">
        <f t="shared" si="58"/>
        <v>331729.15000000002</v>
      </c>
      <c r="AA184" s="77">
        <f t="shared" si="58"/>
        <v>0</v>
      </c>
      <c r="AB184" s="66" t="s">
        <v>423</v>
      </c>
      <c r="AC184" s="66" t="s">
        <v>423</v>
      </c>
      <c r="AD184" s="66" t="s">
        <v>423</v>
      </c>
    </row>
    <row r="185" spans="1:31" x14ac:dyDescent="0.3">
      <c r="A185">
        <v>1</v>
      </c>
      <c r="B185" s="68">
        <f>SUBTOTAL(9,$A$19:A185)</f>
        <v>142</v>
      </c>
      <c r="C185" s="73" t="s">
        <v>269</v>
      </c>
      <c r="D185" s="79" t="s">
        <v>624</v>
      </c>
      <c r="E185" s="65">
        <f>F185+G185+H185+I185+J185+K185+M185+O185+Q185+S185+U185+V185+W185+X185+Z185+AA185+Y185</f>
        <v>14725631.6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7">
        <v>0</v>
      </c>
      <c r="L185" s="155">
        <v>0</v>
      </c>
      <c r="M185" s="77">
        <v>0</v>
      </c>
      <c r="N185" s="81">
        <v>1160</v>
      </c>
      <c r="O185" s="72">
        <v>14310967.09</v>
      </c>
      <c r="P185" s="77">
        <v>0</v>
      </c>
      <c r="Q185" s="77">
        <v>0</v>
      </c>
      <c r="R185" s="77">
        <v>0</v>
      </c>
      <c r="S185" s="77">
        <v>0</v>
      </c>
      <c r="T185" s="77">
        <v>0</v>
      </c>
      <c r="U185" s="77">
        <v>0</v>
      </c>
      <c r="V185" s="77">
        <v>0</v>
      </c>
      <c r="W185" s="77">
        <v>0</v>
      </c>
      <c r="X185" s="77">
        <v>0</v>
      </c>
      <c r="Y185" s="77">
        <v>200000</v>
      </c>
      <c r="Z185" s="77">
        <f>ROUND(O185*1.5%,2)</f>
        <v>214664.51</v>
      </c>
      <c r="AA185" s="77">
        <v>0</v>
      </c>
      <c r="AB185" s="70">
        <v>2026</v>
      </c>
      <c r="AC185" s="70">
        <v>2026</v>
      </c>
      <c r="AD185" s="70">
        <v>2026</v>
      </c>
    </row>
    <row r="186" spans="1:31" x14ac:dyDescent="0.3">
      <c r="A186">
        <v>1</v>
      </c>
      <c r="B186" s="68">
        <f>SUBTOTAL(9,$A$19:A186)</f>
        <v>143</v>
      </c>
      <c r="C186" s="73" t="s">
        <v>270</v>
      </c>
      <c r="D186" s="79" t="s">
        <v>624</v>
      </c>
      <c r="E186" s="65">
        <f>F186+G186+H186+I186+J186+K186+M186+O186+Q186+S186+U186+V186+W186+X186+Z186+AA186+Y186</f>
        <v>7921374.2399999993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7">
        <v>0</v>
      </c>
      <c r="L186" s="155">
        <v>0</v>
      </c>
      <c r="M186" s="77">
        <v>0</v>
      </c>
      <c r="N186" s="65">
        <v>624</v>
      </c>
      <c r="O186" s="72">
        <v>7804309.5999999996</v>
      </c>
      <c r="P186" s="77">
        <v>0</v>
      </c>
      <c r="Q186" s="77">
        <v>0</v>
      </c>
      <c r="R186" s="77">
        <v>0</v>
      </c>
      <c r="S186" s="77">
        <v>0</v>
      </c>
      <c r="T186" s="77">
        <v>0</v>
      </c>
      <c r="U186" s="77">
        <v>0</v>
      </c>
      <c r="V186" s="77">
        <v>0</v>
      </c>
      <c r="W186" s="77">
        <v>0</v>
      </c>
      <c r="X186" s="77">
        <v>0</v>
      </c>
      <c r="Y186" s="77">
        <v>0</v>
      </c>
      <c r="Z186" s="77">
        <f>ROUND(O186*1.5%,2)</f>
        <v>117064.64</v>
      </c>
      <c r="AA186" s="77">
        <v>0</v>
      </c>
      <c r="AB186" s="66" t="s">
        <v>426</v>
      </c>
      <c r="AC186" s="70">
        <v>2026</v>
      </c>
      <c r="AD186" s="70">
        <v>2026</v>
      </c>
    </row>
    <row r="187" spans="1:31" x14ac:dyDescent="0.3">
      <c r="B187" s="62" t="s">
        <v>517</v>
      </c>
      <c r="C187" s="63"/>
      <c r="D187" s="64"/>
      <c r="E187" s="65">
        <f>E188+E224+E229+E248+E260+E263+E279+E283+E285+E287+E289+E291+E294+E297+E299+E305+E309+E312+E315+E318+E322+E324+E329+E334+E337</f>
        <v>1485465801.8600001</v>
      </c>
      <c r="F187" s="65">
        <f t="shared" ref="F187:AA187" si="59">F188+F224+F229+F248+F260+F263+F279+F283+F285+F287+F289+F291+F294+F297+F299+F305+F309+F312+F315+F318+F322+F324+F329+F334+F337</f>
        <v>7050685.2400000002</v>
      </c>
      <c r="G187" s="65">
        <f t="shared" si="59"/>
        <v>11300857.640000001</v>
      </c>
      <c r="H187" s="65">
        <f t="shared" si="59"/>
        <v>2917405.06</v>
      </c>
      <c r="I187" s="65">
        <f t="shared" si="59"/>
        <v>10680513.560000001</v>
      </c>
      <c r="J187" s="65">
        <f t="shared" si="59"/>
        <v>27864285.66</v>
      </c>
      <c r="K187" s="65">
        <f t="shared" si="59"/>
        <v>0</v>
      </c>
      <c r="L187" s="152">
        <f t="shared" si="59"/>
        <v>30</v>
      </c>
      <c r="M187" s="65">
        <f t="shared" si="59"/>
        <v>118418443.19999999</v>
      </c>
      <c r="N187" s="65">
        <f t="shared" si="59"/>
        <v>95442.505000000005</v>
      </c>
      <c r="O187" s="65">
        <f t="shared" si="59"/>
        <v>1188556716.8199999</v>
      </c>
      <c r="P187" s="65">
        <f t="shared" si="59"/>
        <v>0</v>
      </c>
      <c r="Q187" s="65">
        <f t="shared" si="59"/>
        <v>0</v>
      </c>
      <c r="R187" s="65">
        <f t="shared" si="59"/>
        <v>6127.06</v>
      </c>
      <c r="S187" s="65">
        <f t="shared" si="59"/>
        <v>66257476.819999993</v>
      </c>
      <c r="T187" s="65">
        <f t="shared" si="59"/>
        <v>0</v>
      </c>
      <c r="U187" s="65">
        <f t="shared" si="59"/>
        <v>0</v>
      </c>
      <c r="V187" s="65">
        <f t="shared" si="59"/>
        <v>0</v>
      </c>
      <c r="W187" s="65">
        <f t="shared" si="59"/>
        <v>0</v>
      </c>
      <c r="X187" s="65">
        <f t="shared" si="59"/>
        <v>1832114.13</v>
      </c>
      <c r="Y187" s="65">
        <f t="shared" si="59"/>
        <v>27500000</v>
      </c>
      <c r="Z187" s="65">
        <f t="shared" si="59"/>
        <v>23087303.730000008</v>
      </c>
      <c r="AA187" s="65">
        <f t="shared" si="59"/>
        <v>0</v>
      </c>
      <c r="AB187" s="66" t="s">
        <v>423</v>
      </c>
      <c r="AC187" s="66" t="s">
        <v>423</v>
      </c>
      <c r="AD187" s="66" t="s">
        <v>423</v>
      </c>
    </row>
    <row r="188" spans="1:31" x14ac:dyDescent="0.3">
      <c r="B188" s="62" t="s">
        <v>414</v>
      </c>
      <c r="C188" s="63"/>
      <c r="D188" s="64"/>
      <c r="E188" s="65">
        <f>SUM(E189:E223)</f>
        <v>339320692.25000012</v>
      </c>
      <c r="F188" s="65">
        <f t="shared" ref="F188:AA188" si="60">SUM(F189:F223)</f>
        <v>0</v>
      </c>
      <c r="G188" s="65">
        <f t="shared" si="60"/>
        <v>0</v>
      </c>
      <c r="H188" s="65">
        <f t="shared" si="60"/>
        <v>0</v>
      </c>
      <c r="I188" s="65">
        <f t="shared" si="60"/>
        <v>1496098.91</v>
      </c>
      <c r="J188" s="65">
        <f t="shared" si="60"/>
        <v>16879320.16</v>
      </c>
      <c r="K188" s="65">
        <f t="shared" si="60"/>
        <v>0</v>
      </c>
      <c r="L188" s="152">
        <f t="shared" si="60"/>
        <v>8</v>
      </c>
      <c r="M188" s="65">
        <f t="shared" si="60"/>
        <v>31339977.18</v>
      </c>
      <c r="N188" s="65">
        <f t="shared" si="60"/>
        <v>19787.760000000002</v>
      </c>
      <c r="O188" s="65">
        <f t="shared" si="60"/>
        <v>242598567.88999999</v>
      </c>
      <c r="P188" s="65">
        <f t="shared" si="60"/>
        <v>0</v>
      </c>
      <c r="Q188" s="65">
        <f t="shared" si="60"/>
        <v>0</v>
      </c>
      <c r="R188" s="65">
        <f t="shared" si="60"/>
        <v>3169.3</v>
      </c>
      <c r="S188" s="65">
        <f t="shared" si="60"/>
        <v>33406790.509999998</v>
      </c>
      <c r="T188" s="65">
        <f t="shared" si="60"/>
        <v>0</v>
      </c>
      <c r="U188" s="65">
        <f t="shared" si="60"/>
        <v>0</v>
      </c>
      <c r="V188" s="65">
        <f t="shared" si="60"/>
        <v>0</v>
      </c>
      <c r="W188" s="65">
        <f t="shared" si="60"/>
        <v>0</v>
      </c>
      <c r="X188" s="65">
        <f t="shared" si="60"/>
        <v>0</v>
      </c>
      <c r="Y188" s="65">
        <f t="shared" si="60"/>
        <v>7150000</v>
      </c>
      <c r="Z188" s="65">
        <f t="shared" si="60"/>
        <v>6449937.5999999987</v>
      </c>
      <c r="AA188" s="65">
        <f t="shared" si="60"/>
        <v>0</v>
      </c>
      <c r="AB188" s="66" t="s">
        <v>423</v>
      </c>
      <c r="AC188" s="66" t="s">
        <v>423</v>
      </c>
      <c r="AD188" s="66" t="s">
        <v>423</v>
      </c>
    </row>
    <row r="189" spans="1:31" x14ac:dyDescent="0.25">
      <c r="A189">
        <v>1</v>
      </c>
      <c r="B189" s="68">
        <f>SUBTOTAL(9,$A$189:A189)</f>
        <v>1</v>
      </c>
      <c r="C189" s="69" t="s">
        <v>58</v>
      </c>
      <c r="D189" s="70" t="s">
        <v>113</v>
      </c>
      <c r="E189" s="65">
        <f t="shared" ref="E189:E221" si="61">F189+G189+H189+I189+J189+K189+M189+O189+Q189+S189+U189+V189+W189+X189+Y189+Z189+AA189</f>
        <v>12959114.83</v>
      </c>
      <c r="F189" s="71">
        <v>0</v>
      </c>
      <c r="G189" s="71">
        <v>0</v>
      </c>
      <c r="H189" s="71">
        <v>0</v>
      </c>
      <c r="I189" s="71">
        <v>0</v>
      </c>
      <c r="J189" s="71">
        <v>0</v>
      </c>
      <c r="K189" s="71">
        <v>0</v>
      </c>
      <c r="L189" s="153">
        <v>0</v>
      </c>
      <c r="M189" s="71">
        <v>0</v>
      </c>
      <c r="N189" s="65">
        <v>0</v>
      </c>
      <c r="O189" s="65">
        <v>0</v>
      </c>
      <c r="P189" s="71">
        <v>0</v>
      </c>
      <c r="Q189" s="71">
        <v>0</v>
      </c>
      <c r="R189" s="74">
        <v>1129.3</v>
      </c>
      <c r="S189" s="74">
        <v>12491790.51</v>
      </c>
      <c r="T189" s="71">
        <v>0</v>
      </c>
      <c r="U189" s="71">
        <v>0</v>
      </c>
      <c r="V189" s="71">
        <v>0</v>
      </c>
      <c r="W189" s="71">
        <v>0</v>
      </c>
      <c r="X189" s="71">
        <v>0</v>
      </c>
      <c r="Y189" s="74">
        <v>200000</v>
      </c>
      <c r="Z189" s="74">
        <v>267324.32</v>
      </c>
      <c r="AA189" s="71">
        <v>0</v>
      </c>
      <c r="AB189" s="70">
        <v>2027</v>
      </c>
      <c r="AC189" s="70">
        <v>2027</v>
      </c>
      <c r="AD189" s="70">
        <v>2027</v>
      </c>
    </row>
    <row r="190" spans="1:31" x14ac:dyDescent="0.25">
      <c r="A190">
        <v>1</v>
      </c>
      <c r="B190" s="68">
        <f>SUBTOTAL(9,$A$189:A190)</f>
        <v>2</v>
      </c>
      <c r="C190" s="69" t="s">
        <v>59</v>
      </c>
      <c r="D190" s="70" t="s">
        <v>113</v>
      </c>
      <c r="E190" s="65">
        <f t="shared" si="61"/>
        <v>23706706.25</v>
      </c>
      <c r="F190" s="71">
        <v>0</v>
      </c>
      <c r="G190" s="71">
        <v>0</v>
      </c>
      <c r="H190" s="71">
        <v>0</v>
      </c>
      <c r="I190" s="71">
        <v>0</v>
      </c>
      <c r="J190" s="71">
        <v>0</v>
      </c>
      <c r="K190" s="71">
        <v>0</v>
      </c>
      <c r="L190" s="153">
        <v>0</v>
      </c>
      <c r="M190" s="71">
        <v>0</v>
      </c>
      <c r="N190" s="65">
        <v>2360</v>
      </c>
      <c r="O190" s="65">
        <v>23210012</v>
      </c>
      <c r="P190" s="65">
        <v>0</v>
      </c>
      <c r="Q190" s="65">
        <v>0</v>
      </c>
      <c r="R190" s="65">
        <v>0</v>
      </c>
      <c r="S190" s="65">
        <v>0</v>
      </c>
      <c r="T190" s="71">
        <v>0</v>
      </c>
      <c r="U190" s="71">
        <v>0</v>
      </c>
      <c r="V190" s="71">
        <v>0</v>
      </c>
      <c r="W190" s="71">
        <v>0</v>
      </c>
      <c r="X190" s="71">
        <v>0</v>
      </c>
      <c r="Y190" s="72">
        <v>0</v>
      </c>
      <c r="Z190" s="74">
        <v>496694.25</v>
      </c>
      <c r="AA190" s="71">
        <v>0</v>
      </c>
      <c r="AB190" s="66" t="s">
        <v>426</v>
      </c>
      <c r="AC190" s="70">
        <v>2027</v>
      </c>
      <c r="AD190" s="70">
        <v>2027</v>
      </c>
    </row>
    <row r="191" spans="1:31" x14ac:dyDescent="0.25">
      <c r="A191">
        <v>1</v>
      </c>
      <c r="B191" s="68">
        <f>SUBTOTAL(9,$A$189:A191)</f>
        <v>3</v>
      </c>
      <c r="C191" s="73" t="s">
        <v>60</v>
      </c>
      <c r="D191" s="70" t="s">
        <v>113</v>
      </c>
      <c r="E191" s="65">
        <f t="shared" si="61"/>
        <v>10179912.59</v>
      </c>
      <c r="F191" s="71">
        <v>0</v>
      </c>
      <c r="G191" s="71">
        <v>0</v>
      </c>
      <c r="H191" s="71">
        <v>0</v>
      </c>
      <c r="I191" s="71">
        <v>0</v>
      </c>
      <c r="J191" s="71">
        <v>0</v>
      </c>
      <c r="K191" s="71">
        <v>0</v>
      </c>
      <c r="L191" s="153">
        <v>0</v>
      </c>
      <c r="M191" s="71">
        <v>0</v>
      </c>
      <c r="N191" s="72">
        <v>567</v>
      </c>
      <c r="O191" s="72">
        <v>9770817.0999999996</v>
      </c>
      <c r="P191" s="71">
        <v>0</v>
      </c>
      <c r="Q191" s="71">
        <v>0</v>
      </c>
      <c r="R191" s="72">
        <v>0</v>
      </c>
      <c r="S191" s="72">
        <v>0</v>
      </c>
      <c r="T191" s="71">
        <v>0</v>
      </c>
      <c r="U191" s="71">
        <v>0</v>
      </c>
      <c r="V191" s="71">
        <v>0</v>
      </c>
      <c r="W191" s="71">
        <v>0</v>
      </c>
      <c r="X191" s="71">
        <v>0</v>
      </c>
      <c r="Y191" s="72">
        <v>200000</v>
      </c>
      <c r="Z191" s="74">
        <v>209095.49</v>
      </c>
      <c r="AA191" s="71">
        <v>0</v>
      </c>
      <c r="AB191" s="70">
        <v>2027</v>
      </c>
      <c r="AC191" s="70">
        <v>2027</v>
      </c>
      <c r="AD191" s="70">
        <v>2027</v>
      </c>
    </row>
    <row r="192" spans="1:31" x14ac:dyDescent="0.25">
      <c r="A192">
        <v>1</v>
      </c>
      <c r="B192" s="68">
        <f>SUBTOTAL(9,$A$189:A192)</f>
        <v>4</v>
      </c>
      <c r="C192" s="73" t="s">
        <v>61</v>
      </c>
      <c r="D192" s="70" t="s">
        <v>113</v>
      </c>
      <c r="E192" s="65">
        <f t="shared" si="61"/>
        <v>9926626.3000000007</v>
      </c>
      <c r="F192" s="71">
        <v>0</v>
      </c>
      <c r="G192" s="71">
        <v>0</v>
      </c>
      <c r="H192" s="71">
        <v>0</v>
      </c>
      <c r="I192" s="71">
        <v>0</v>
      </c>
      <c r="J192" s="71">
        <v>0</v>
      </c>
      <c r="K192" s="71">
        <v>0</v>
      </c>
      <c r="L192" s="153">
        <v>0</v>
      </c>
      <c r="M192" s="71">
        <v>0</v>
      </c>
      <c r="N192" s="72">
        <v>782</v>
      </c>
      <c r="O192" s="72">
        <v>9522837.5800000001</v>
      </c>
      <c r="P192" s="71">
        <v>0</v>
      </c>
      <c r="Q192" s="71">
        <v>0</v>
      </c>
      <c r="R192" s="72">
        <v>0</v>
      </c>
      <c r="S192" s="72">
        <v>0</v>
      </c>
      <c r="T192" s="71">
        <v>0</v>
      </c>
      <c r="U192" s="71">
        <v>0</v>
      </c>
      <c r="V192" s="71">
        <v>0</v>
      </c>
      <c r="W192" s="71">
        <v>0</v>
      </c>
      <c r="X192" s="71">
        <v>0</v>
      </c>
      <c r="Y192" s="72">
        <v>200000</v>
      </c>
      <c r="Z192" s="74">
        <v>203788.72</v>
      </c>
      <c r="AA192" s="71">
        <v>0</v>
      </c>
      <c r="AB192" s="70">
        <v>2027</v>
      </c>
      <c r="AC192" s="70">
        <v>2027</v>
      </c>
      <c r="AD192" s="70">
        <v>2027</v>
      </c>
    </row>
    <row r="193" spans="1:30" x14ac:dyDescent="0.25">
      <c r="A193">
        <v>1</v>
      </c>
      <c r="B193" s="68">
        <f>SUBTOTAL(9,$A$189:A193)</f>
        <v>5</v>
      </c>
      <c r="C193" s="73" t="s">
        <v>62</v>
      </c>
      <c r="D193" s="70" t="s">
        <v>113</v>
      </c>
      <c r="E193" s="65">
        <f t="shared" si="61"/>
        <v>21612581</v>
      </c>
      <c r="F193" s="71">
        <v>0</v>
      </c>
      <c r="G193" s="71">
        <v>0</v>
      </c>
      <c r="H193" s="71">
        <v>0</v>
      </c>
      <c r="I193" s="71">
        <v>0</v>
      </c>
      <c r="J193" s="71">
        <v>0</v>
      </c>
      <c r="K193" s="71">
        <v>0</v>
      </c>
      <c r="L193" s="153">
        <v>0</v>
      </c>
      <c r="M193" s="71">
        <v>0</v>
      </c>
      <c r="N193" s="65">
        <v>0</v>
      </c>
      <c r="O193" s="65">
        <v>0</v>
      </c>
      <c r="P193" s="71">
        <v>0</v>
      </c>
      <c r="Q193" s="71">
        <v>0</v>
      </c>
      <c r="R193" s="72">
        <v>2040</v>
      </c>
      <c r="S193" s="72">
        <v>20915000</v>
      </c>
      <c r="T193" s="71">
        <v>0</v>
      </c>
      <c r="U193" s="71">
        <v>0</v>
      </c>
      <c r="V193" s="71">
        <v>0</v>
      </c>
      <c r="W193" s="71">
        <v>0</v>
      </c>
      <c r="X193" s="71">
        <v>0</v>
      </c>
      <c r="Y193" s="72">
        <v>250000</v>
      </c>
      <c r="Z193" s="74">
        <v>447581</v>
      </c>
      <c r="AA193" s="71">
        <v>0</v>
      </c>
      <c r="AB193" s="70">
        <v>2027</v>
      </c>
      <c r="AC193" s="70">
        <v>2027</v>
      </c>
      <c r="AD193" s="70">
        <v>2027</v>
      </c>
    </row>
    <row r="194" spans="1:30" x14ac:dyDescent="0.25">
      <c r="A194">
        <v>1</v>
      </c>
      <c r="B194" s="68">
        <f>SUBTOTAL(9,$A$189:A194)</f>
        <v>6</v>
      </c>
      <c r="C194" s="73" t="s">
        <v>63</v>
      </c>
      <c r="D194" s="70" t="s">
        <v>113</v>
      </c>
      <c r="E194" s="65">
        <f t="shared" si="61"/>
        <v>11962768.629999999</v>
      </c>
      <c r="F194" s="71">
        <v>0</v>
      </c>
      <c r="G194" s="71">
        <v>0</v>
      </c>
      <c r="H194" s="71">
        <v>0</v>
      </c>
      <c r="I194" s="71">
        <v>0</v>
      </c>
      <c r="J194" s="71">
        <v>0</v>
      </c>
      <c r="K194" s="71">
        <v>0</v>
      </c>
      <c r="L194" s="153">
        <v>0</v>
      </c>
      <c r="M194" s="71">
        <v>0</v>
      </c>
      <c r="N194" s="71">
        <v>925</v>
      </c>
      <c r="O194" s="72">
        <v>11496738.43</v>
      </c>
      <c r="P194" s="71">
        <v>0</v>
      </c>
      <c r="Q194" s="71">
        <v>0</v>
      </c>
      <c r="R194" s="71">
        <v>0</v>
      </c>
      <c r="S194" s="71">
        <v>0</v>
      </c>
      <c r="T194" s="71">
        <v>0</v>
      </c>
      <c r="U194" s="71">
        <v>0</v>
      </c>
      <c r="V194" s="71">
        <v>0</v>
      </c>
      <c r="W194" s="71">
        <v>0</v>
      </c>
      <c r="X194" s="71">
        <v>0</v>
      </c>
      <c r="Y194" s="72">
        <v>220000</v>
      </c>
      <c r="Z194" s="72">
        <v>246030.2</v>
      </c>
      <c r="AA194" s="71">
        <v>0</v>
      </c>
      <c r="AB194" s="70">
        <v>2027</v>
      </c>
      <c r="AC194" s="70">
        <v>2027</v>
      </c>
      <c r="AD194" s="70">
        <v>2027</v>
      </c>
    </row>
    <row r="195" spans="1:30" x14ac:dyDescent="0.25">
      <c r="A195">
        <v>1</v>
      </c>
      <c r="B195" s="68">
        <f>SUBTOTAL(9,$A$189:A195)</f>
        <v>7</v>
      </c>
      <c r="C195" s="73" t="s">
        <v>64</v>
      </c>
      <c r="D195" s="70" t="s">
        <v>113</v>
      </c>
      <c r="E195" s="65">
        <f t="shared" si="61"/>
        <v>20856102.009999998</v>
      </c>
      <c r="F195" s="71">
        <v>0</v>
      </c>
      <c r="G195" s="71">
        <v>0</v>
      </c>
      <c r="H195" s="71">
        <v>0</v>
      </c>
      <c r="I195" s="71">
        <v>0</v>
      </c>
      <c r="J195" s="71">
        <v>0</v>
      </c>
      <c r="K195" s="71">
        <v>0</v>
      </c>
      <c r="L195" s="153">
        <v>0</v>
      </c>
      <c r="M195" s="71">
        <v>0</v>
      </c>
      <c r="N195" s="71">
        <v>1371.8</v>
      </c>
      <c r="O195" s="72">
        <v>20203741.93</v>
      </c>
      <c r="P195" s="71">
        <v>0</v>
      </c>
      <c r="Q195" s="71">
        <v>0</v>
      </c>
      <c r="R195" s="71">
        <v>0</v>
      </c>
      <c r="S195" s="71">
        <v>0</v>
      </c>
      <c r="T195" s="71">
        <v>0</v>
      </c>
      <c r="U195" s="71">
        <v>0</v>
      </c>
      <c r="V195" s="71">
        <v>0</v>
      </c>
      <c r="W195" s="71">
        <v>0</v>
      </c>
      <c r="X195" s="71">
        <v>0</v>
      </c>
      <c r="Y195" s="72">
        <v>220000</v>
      </c>
      <c r="Z195" s="72">
        <v>432360.08</v>
      </c>
      <c r="AA195" s="71">
        <v>0</v>
      </c>
      <c r="AB195" s="70">
        <v>2027</v>
      </c>
      <c r="AC195" s="70">
        <v>2027</v>
      </c>
      <c r="AD195" s="70">
        <v>2027</v>
      </c>
    </row>
    <row r="196" spans="1:30" x14ac:dyDescent="0.25">
      <c r="A196">
        <v>1</v>
      </c>
      <c r="B196" s="68">
        <f>SUBTOTAL(9,$A$189:A196)</f>
        <v>8</v>
      </c>
      <c r="C196" s="73" t="s">
        <v>65</v>
      </c>
      <c r="D196" s="70" t="s">
        <v>113</v>
      </c>
      <c r="E196" s="65">
        <f t="shared" si="61"/>
        <v>1748115.43</v>
      </c>
      <c r="F196" s="71">
        <v>0</v>
      </c>
      <c r="G196" s="71">
        <v>0</v>
      </c>
      <c r="H196" s="71">
        <v>0</v>
      </c>
      <c r="I196" s="71">
        <v>1496098.91</v>
      </c>
      <c r="J196" s="71">
        <v>0</v>
      </c>
      <c r="K196" s="71">
        <v>0</v>
      </c>
      <c r="L196" s="153">
        <v>0</v>
      </c>
      <c r="M196" s="71">
        <v>0</v>
      </c>
      <c r="N196" s="65">
        <v>0</v>
      </c>
      <c r="O196" s="65">
        <v>0</v>
      </c>
      <c r="P196" s="71">
        <v>0</v>
      </c>
      <c r="Q196" s="71">
        <v>0</v>
      </c>
      <c r="R196" s="72">
        <v>0</v>
      </c>
      <c r="S196" s="72">
        <v>0</v>
      </c>
      <c r="T196" s="71">
        <v>0</v>
      </c>
      <c r="U196" s="71">
        <v>0</v>
      </c>
      <c r="V196" s="71">
        <v>0</v>
      </c>
      <c r="W196" s="71">
        <v>0</v>
      </c>
      <c r="X196" s="71">
        <v>0</v>
      </c>
      <c r="Y196" s="72">
        <v>220000</v>
      </c>
      <c r="Z196" s="74">
        <v>32016.52</v>
      </c>
      <c r="AA196" s="71">
        <v>0</v>
      </c>
      <c r="AB196" s="70">
        <v>2027</v>
      </c>
      <c r="AC196" s="70">
        <v>2027</v>
      </c>
      <c r="AD196" s="70">
        <v>2027</v>
      </c>
    </row>
    <row r="197" spans="1:30" x14ac:dyDescent="0.25">
      <c r="A197">
        <v>1</v>
      </c>
      <c r="B197" s="68">
        <f>SUBTOTAL(9,$A$189:A197)</f>
        <v>9</v>
      </c>
      <c r="C197" s="73" t="s">
        <v>66</v>
      </c>
      <c r="D197" s="70" t="s">
        <v>113</v>
      </c>
      <c r="E197" s="65">
        <f t="shared" si="61"/>
        <v>9440888.9700000007</v>
      </c>
      <c r="F197" s="71">
        <v>0</v>
      </c>
      <c r="G197" s="71">
        <v>0</v>
      </c>
      <c r="H197" s="71">
        <v>0</v>
      </c>
      <c r="I197" s="71">
        <v>0</v>
      </c>
      <c r="J197" s="71">
        <v>0</v>
      </c>
      <c r="K197" s="71">
        <v>0</v>
      </c>
      <c r="L197" s="153">
        <v>0</v>
      </c>
      <c r="M197" s="71">
        <v>0</v>
      </c>
      <c r="N197" s="72">
        <v>730</v>
      </c>
      <c r="O197" s="72">
        <v>9047277.2400000002</v>
      </c>
      <c r="P197" s="71">
        <v>0</v>
      </c>
      <c r="Q197" s="71">
        <v>0</v>
      </c>
      <c r="R197" s="72">
        <v>0</v>
      </c>
      <c r="S197" s="72">
        <v>0</v>
      </c>
      <c r="T197" s="71">
        <v>0</v>
      </c>
      <c r="U197" s="71">
        <v>0</v>
      </c>
      <c r="V197" s="71">
        <v>0</v>
      </c>
      <c r="W197" s="71">
        <v>0</v>
      </c>
      <c r="X197" s="71">
        <v>0</v>
      </c>
      <c r="Y197" s="72">
        <v>200000</v>
      </c>
      <c r="Z197" s="74">
        <v>193611.73</v>
      </c>
      <c r="AA197" s="71">
        <v>0</v>
      </c>
      <c r="AB197" s="70">
        <v>2027</v>
      </c>
      <c r="AC197" s="70">
        <v>2027</v>
      </c>
      <c r="AD197" s="70">
        <v>2027</v>
      </c>
    </row>
    <row r="198" spans="1:30" x14ac:dyDescent="0.25">
      <c r="A198">
        <v>1</v>
      </c>
      <c r="B198" s="68">
        <f>SUBTOTAL(9,$A$189:A198)</f>
        <v>10</v>
      </c>
      <c r="C198" s="73" t="s">
        <v>67</v>
      </c>
      <c r="D198" s="70" t="s">
        <v>113</v>
      </c>
      <c r="E198" s="65">
        <f t="shared" si="61"/>
        <v>7298992.54</v>
      </c>
      <c r="F198" s="71">
        <v>0</v>
      </c>
      <c r="G198" s="71">
        <v>0</v>
      </c>
      <c r="H198" s="71">
        <v>0</v>
      </c>
      <c r="I198" s="71">
        <v>0</v>
      </c>
      <c r="J198" s="71">
        <v>0</v>
      </c>
      <c r="K198" s="71">
        <v>0</v>
      </c>
      <c r="L198" s="153">
        <v>0</v>
      </c>
      <c r="M198" s="71">
        <v>0</v>
      </c>
      <c r="N198" s="72">
        <v>575</v>
      </c>
      <c r="O198" s="72">
        <v>6950257.04</v>
      </c>
      <c r="P198" s="71">
        <v>0</v>
      </c>
      <c r="Q198" s="71">
        <v>0</v>
      </c>
      <c r="R198" s="72">
        <v>0</v>
      </c>
      <c r="S198" s="72">
        <v>0</v>
      </c>
      <c r="T198" s="71">
        <v>0</v>
      </c>
      <c r="U198" s="71">
        <v>0</v>
      </c>
      <c r="V198" s="71">
        <v>0</v>
      </c>
      <c r="W198" s="71">
        <v>0</v>
      </c>
      <c r="X198" s="71">
        <v>0</v>
      </c>
      <c r="Y198" s="72">
        <v>200000</v>
      </c>
      <c r="Z198" s="74">
        <v>148735.5</v>
      </c>
      <c r="AA198" s="71">
        <v>0</v>
      </c>
      <c r="AB198" s="70">
        <v>2027</v>
      </c>
      <c r="AC198" s="70">
        <v>2027</v>
      </c>
      <c r="AD198" s="70">
        <v>2027</v>
      </c>
    </row>
    <row r="199" spans="1:30" x14ac:dyDescent="0.25">
      <c r="A199">
        <v>1</v>
      </c>
      <c r="B199" s="68">
        <f>SUBTOTAL(9,$A$189:A199)</f>
        <v>11</v>
      </c>
      <c r="C199" s="73" t="s">
        <v>68</v>
      </c>
      <c r="D199" s="70" t="s">
        <v>113</v>
      </c>
      <c r="E199" s="65">
        <f t="shared" si="61"/>
        <v>4747522.0799999991</v>
      </c>
      <c r="F199" s="71">
        <v>0</v>
      </c>
      <c r="G199" s="71">
        <v>0</v>
      </c>
      <c r="H199" s="71">
        <v>0</v>
      </c>
      <c r="I199" s="71">
        <v>0</v>
      </c>
      <c r="J199" s="71">
        <v>0</v>
      </c>
      <c r="K199" s="71">
        <v>0</v>
      </c>
      <c r="L199" s="153">
        <v>0</v>
      </c>
      <c r="M199" s="71">
        <v>0</v>
      </c>
      <c r="N199" s="65">
        <v>374</v>
      </c>
      <c r="O199" s="65">
        <v>4452244.0599999996</v>
      </c>
      <c r="P199" s="71">
        <v>0</v>
      </c>
      <c r="Q199" s="71">
        <v>0</v>
      </c>
      <c r="R199" s="71">
        <v>0</v>
      </c>
      <c r="S199" s="71">
        <v>0</v>
      </c>
      <c r="T199" s="71">
        <v>0</v>
      </c>
      <c r="U199" s="71">
        <v>0</v>
      </c>
      <c r="V199" s="71">
        <v>0</v>
      </c>
      <c r="W199" s="71">
        <v>0</v>
      </c>
      <c r="X199" s="71">
        <v>0</v>
      </c>
      <c r="Y199" s="72">
        <v>200000</v>
      </c>
      <c r="Z199" s="72">
        <v>95278.02</v>
      </c>
      <c r="AA199" s="71">
        <v>0</v>
      </c>
      <c r="AB199" s="70">
        <v>2027</v>
      </c>
      <c r="AC199" s="70">
        <v>2027</v>
      </c>
      <c r="AD199" s="70">
        <v>2027</v>
      </c>
    </row>
    <row r="200" spans="1:30" x14ac:dyDescent="0.25">
      <c r="A200">
        <v>1</v>
      </c>
      <c r="B200" s="68">
        <f>SUBTOTAL(9,$A$189:A200)</f>
        <v>12</v>
      </c>
      <c r="C200" s="73" t="s">
        <v>69</v>
      </c>
      <c r="D200" s="70" t="s">
        <v>113</v>
      </c>
      <c r="E200" s="65">
        <f t="shared" si="61"/>
        <v>13150365.290000001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65">
        <v>0</v>
      </c>
      <c r="L200" s="152">
        <v>0</v>
      </c>
      <c r="M200" s="65">
        <v>0</v>
      </c>
      <c r="N200" s="72">
        <v>1035.96</v>
      </c>
      <c r="O200" s="72">
        <v>12669243.48</v>
      </c>
      <c r="P200" s="65">
        <v>0</v>
      </c>
      <c r="Q200" s="65">
        <v>0</v>
      </c>
      <c r="R200" s="65">
        <v>0</v>
      </c>
      <c r="S200" s="65">
        <v>0</v>
      </c>
      <c r="T200" s="71">
        <v>0</v>
      </c>
      <c r="U200" s="71">
        <v>0</v>
      </c>
      <c r="V200" s="71">
        <v>0</v>
      </c>
      <c r="W200" s="71">
        <v>0</v>
      </c>
      <c r="X200" s="71">
        <v>0</v>
      </c>
      <c r="Y200" s="72">
        <v>210000</v>
      </c>
      <c r="Z200" s="72">
        <v>271121.81</v>
      </c>
      <c r="AA200" s="71">
        <v>0</v>
      </c>
      <c r="AB200" s="70">
        <v>2027</v>
      </c>
      <c r="AC200" s="70">
        <v>2027</v>
      </c>
      <c r="AD200" s="70">
        <v>2027</v>
      </c>
    </row>
    <row r="201" spans="1:30" x14ac:dyDescent="0.25">
      <c r="A201">
        <v>1</v>
      </c>
      <c r="B201" s="68">
        <f>SUBTOTAL(9,$A$189:A201)</f>
        <v>13</v>
      </c>
      <c r="C201" s="73" t="s">
        <v>70</v>
      </c>
      <c r="D201" s="70" t="s">
        <v>113</v>
      </c>
      <c r="E201" s="65">
        <f t="shared" si="61"/>
        <v>6981645.46</v>
      </c>
      <c r="F201" s="71">
        <v>0</v>
      </c>
      <c r="G201" s="71">
        <v>0</v>
      </c>
      <c r="H201" s="71">
        <v>0</v>
      </c>
      <c r="I201" s="71">
        <v>0</v>
      </c>
      <c r="J201" s="71">
        <v>0</v>
      </c>
      <c r="K201" s="71">
        <v>0</v>
      </c>
      <c r="L201" s="153">
        <v>0</v>
      </c>
      <c r="M201" s="71">
        <v>0</v>
      </c>
      <c r="N201" s="72">
        <v>550</v>
      </c>
      <c r="O201" s="72">
        <v>6639558.9000000004</v>
      </c>
      <c r="P201" s="71">
        <v>0</v>
      </c>
      <c r="Q201" s="71">
        <v>0</v>
      </c>
      <c r="R201" s="72">
        <v>0</v>
      </c>
      <c r="S201" s="72">
        <v>0</v>
      </c>
      <c r="T201" s="71">
        <v>0</v>
      </c>
      <c r="U201" s="71">
        <v>0</v>
      </c>
      <c r="V201" s="71">
        <v>0</v>
      </c>
      <c r="W201" s="71">
        <v>0</v>
      </c>
      <c r="X201" s="71">
        <v>0</v>
      </c>
      <c r="Y201" s="72">
        <v>200000</v>
      </c>
      <c r="Z201" s="74">
        <v>142086.56</v>
      </c>
      <c r="AA201" s="71">
        <v>0</v>
      </c>
      <c r="AB201" s="70">
        <v>2027</v>
      </c>
      <c r="AC201" s="70">
        <v>2027</v>
      </c>
      <c r="AD201" s="70">
        <v>2027</v>
      </c>
    </row>
    <row r="202" spans="1:30" x14ac:dyDescent="0.25">
      <c r="A202">
        <v>1</v>
      </c>
      <c r="B202" s="68">
        <f>SUBTOTAL(9,$A$189:A202)</f>
        <v>14</v>
      </c>
      <c r="C202" s="73" t="s">
        <v>71</v>
      </c>
      <c r="D202" s="70" t="s">
        <v>113</v>
      </c>
      <c r="E202" s="65">
        <f t="shared" si="61"/>
        <v>13708684.630000001</v>
      </c>
      <c r="F202" s="71">
        <v>0</v>
      </c>
      <c r="G202" s="71">
        <v>0</v>
      </c>
      <c r="H202" s="71">
        <v>0</v>
      </c>
      <c r="I202" s="71">
        <v>0</v>
      </c>
      <c r="J202" s="71">
        <v>0</v>
      </c>
      <c r="K202" s="71">
        <v>0</v>
      </c>
      <c r="L202" s="153">
        <v>0</v>
      </c>
      <c r="M202" s="71">
        <v>0</v>
      </c>
      <c r="N202" s="72">
        <v>1060</v>
      </c>
      <c r="O202" s="72">
        <v>13206074.630000001</v>
      </c>
      <c r="P202" s="71">
        <v>0</v>
      </c>
      <c r="Q202" s="71">
        <v>0</v>
      </c>
      <c r="R202" s="72">
        <v>0</v>
      </c>
      <c r="S202" s="72">
        <v>0</v>
      </c>
      <c r="T202" s="71">
        <v>0</v>
      </c>
      <c r="U202" s="71">
        <v>0</v>
      </c>
      <c r="V202" s="71">
        <v>0</v>
      </c>
      <c r="W202" s="71">
        <v>0</v>
      </c>
      <c r="X202" s="71">
        <v>0</v>
      </c>
      <c r="Y202" s="71">
        <v>220000</v>
      </c>
      <c r="Z202" s="74">
        <v>282610</v>
      </c>
      <c r="AA202" s="71">
        <v>0</v>
      </c>
      <c r="AB202" s="70">
        <v>2027</v>
      </c>
      <c r="AC202" s="70">
        <v>2027</v>
      </c>
      <c r="AD202" s="70">
        <v>2027</v>
      </c>
    </row>
    <row r="203" spans="1:30" x14ac:dyDescent="0.25">
      <c r="A203">
        <v>1</v>
      </c>
      <c r="B203" s="68">
        <f>SUBTOTAL(9,$A$189:A203)</f>
        <v>15</v>
      </c>
      <c r="C203" s="73" t="s">
        <v>72</v>
      </c>
      <c r="D203" s="70" t="s">
        <v>113</v>
      </c>
      <c r="E203" s="65">
        <f t="shared" si="61"/>
        <v>22200340.390000001</v>
      </c>
      <c r="F203" s="65">
        <v>0</v>
      </c>
      <c r="G203" s="65">
        <v>0</v>
      </c>
      <c r="H203" s="65">
        <v>0</v>
      </c>
      <c r="I203" s="65">
        <v>0</v>
      </c>
      <c r="J203" s="65">
        <v>0</v>
      </c>
      <c r="K203" s="65">
        <v>0</v>
      </c>
      <c r="L203" s="152">
        <v>0</v>
      </c>
      <c r="M203" s="65">
        <v>0</v>
      </c>
      <c r="N203" s="72">
        <v>1732</v>
      </c>
      <c r="O203" s="72">
        <v>21704980.390000001</v>
      </c>
      <c r="P203" s="65">
        <v>0</v>
      </c>
      <c r="Q203" s="65">
        <v>0</v>
      </c>
      <c r="R203" s="65">
        <v>0</v>
      </c>
      <c r="S203" s="65">
        <v>0</v>
      </c>
      <c r="T203" s="71">
        <v>0</v>
      </c>
      <c r="U203" s="71">
        <v>0</v>
      </c>
      <c r="V203" s="71">
        <v>0</v>
      </c>
      <c r="W203" s="71">
        <v>0</v>
      </c>
      <c r="X203" s="71">
        <v>0</v>
      </c>
      <c r="Y203" s="72">
        <v>230000</v>
      </c>
      <c r="Z203" s="72">
        <v>265360</v>
      </c>
      <c r="AA203" s="71">
        <v>0</v>
      </c>
      <c r="AB203" s="70">
        <v>2027</v>
      </c>
      <c r="AC203" s="70">
        <v>2027</v>
      </c>
      <c r="AD203" s="70">
        <v>2027</v>
      </c>
    </row>
    <row r="204" spans="1:30" x14ac:dyDescent="0.25">
      <c r="A204">
        <v>1</v>
      </c>
      <c r="B204" s="68">
        <f>SUBTOTAL(9,$A$189:A204)</f>
        <v>16</v>
      </c>
      <c r="C204" s="73" t="s">
        <v>73</v>
      </c>
      <c r="D204" s="70" t="s">
        <v>113</v>
      </c>
      <c r="E204" s="65">
        <f t="shared" si="61"/>
        <v>8740282.9900000002</v>
      </c>
      <c r="F204" s="71">
        <v>0</v>
      </c>
      <c r="G204" s="71">
        <v>0</v>
      </c>
      <c r="H204" s="71">
        <v>0</v>
      </c>
      <c r="I204" s="71">
        <v>0</v>
      </c>
      <c r="J204" s="71">
        <v>8263445.2599999998</v>
      </c>
      <c r="K204" s="71">
        <v>0</v>
      </c>
      <c r="L204" s="153">
        <v>0</v>
      </c>
      <c r="M204" s="71">
        <v>0</v>
      </c>
      <c r="N204" s="65">
        <v>0</v>
      </c>
      <c r="O204" s="65">
        <v>0</v>
      </c>
      <c r="P204" s="71">
        <v>0</v>
      </c>
      <c r="Q204" s="71">
        <v>0</v>
      </c>
      <c r="R204" s="72">
        <v>0</v>
      </c>
      <c r="S204" s="72">
        <v>0</v>
      </c>
      <c r="T204" s="71">
        <v>0</v>
      </c>
      <c r="U204" s="71">
        <v>0</v>
      </c>
      <c r="V204" s="71">
        <v>0</v>
      </c>
      <c r="W204" s="71">
        <v>0</v>
      </c>
      <c r="X204" s="71">
        <v>0</v>
      </c>
      <c r="Y204" s="72">
        <v>300000</v>
      </c>
      <c r="Z204" s="72">
        <v>176837.73</v>
      </c>
      <c r="AA204" s="71">
        <v>0</v>
      </c>
      <c r="AB204" s="70">
        <v>2027</v>
      </c>
      <c r="AC204" s="70">
        <v>2027</v>
      </c>
      <c r="AD204" s="70">
        <v>2027</v>
      </c>
    </row>
    <row r="205" spans="1:30" x14ac:dyDescent="0.25">
      <c r="A205">
        <v>1</v>
      </c>
      <c r="B205" s="68">
        <f>SUBTOTAL(9,$A$189:A205)</f>
        <v>17</v>
      </c>
      <c r="C205" s="73" t="s">
        <v>74</v>
      </c>
      <c r="D205" s="70" t="s">
        <v>113</v>
      </c>
      <c r="E205" s="65">
        <f t="shared" si="61"/>
        <v>13763291.92</v>
      </c>
      <c r="F205" s="65">
        <v>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152">
        <v>0</v>
      </c>
      <c r="M205" s="65">
        <v>0</v>
      </c>
      <c r="N205" s="72">
        <v>1100</v>
      </c>
      <c r="O205" s="72">
        <v>13259537.82</v>
      </c>
      <c r="P205" s="65">
        <v>0</v>
      </c>
      <c r="Q205" s="65">
        <v>0</v>
      </c>
      <c r="R205" s="65">
        <v>0</v>
      </c>
      <c r="S205" s="65">
        <v>0</v>
      </c>
      <c r="T205" s="71">
        <v>0</v>
      </c>
      <c r="U205" s="71">
        <v>0</v>
      </c>
      <c r="V205" s="71">
        <v>0</v>
      </c>
      <c r="W205" s="71">
        <v>0</v>
      </c>
      <c r="X205" s="71">
        <v>0</v>
      </c>
      <c r="Y205" s="72">
        <v>220000</v>
      </c>
      <c r="Z205" s="72">
        <v>283754.09999999998</v>
      </c>
      <c r="AA205" s="71">
        <v>0</v>
      </c>
      <c r="AB205" s="70">
        <v>2027</v>
      </c>
      <c r="AC205" s="70">
        <v>2027</v>
      </c>
      <c r="AD205" s="70">
        <v>2027</v>
      </c>
    </row>
    <row r="206" spans="1:30" x14ac:dyDescent="0.25">
      <c r="A206">
        <v>1</v>
      </c>
      <c r="B206" s="68">
        <f>SUBTOTAL(9,$A$189:A206)</f>
        <v>18</v>
      </c>
      <c r="C206" s="73" t="s">
        <v>75</v>
      </c>
      <c r="D206" s="70" t="s">
        <v>113</v>
      </c>
      <c r="E206" s="65">
        <f t="shared" si="61"/>
        <v>12389239.58</v>
      </c>
      <c r="F206" s="71">
        <v>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153">
        <v>0</v>
      </c>
      <c r="M206" s="71">
        <v>0</v>
      </c>
      <c r="N206" s="65">
        <v>976</v>
      </c>
      <c r="O206" s="65">
        <v>11933855.08</v>
      </c>
      <c r="P206" s="71">
        <v>0</v>
      </c>
      <c r="Q206" s="71">
        <v>0</v>
      </c>
      <c r="R206" s="72">
        <v>0</v>
      </c>
      <c r="S206" s="72">
        <v>0</v>
      </c>
      <c r="T206" s="71">
        <v>0</v>
      </c>
      <c r="U206" s="71">
        <v>0</v>
      </c>
      <c r="V206" s="71">
        <v>0</v>
      </c>
      <c r="W206" s="71">
        <v>0</v>
      </c>
      <c r="X206" s="71">
        <v>0</v>
      </c>
      <c r="Y206" s="71">
        <v>200000</v>
      </c>
      <c r="Z206" s="72">
        <v>255384.5</v>
      </c>
      <c r="AA206" s="71">
        <v>0</v>
      </c>
      <c r="AB206" s="70">
        <v>2027</v>
      </c>
      <c r="AC206" s="70">
        <v>2027</v>
      </c>
      <c r="AD206" s="70">
        <v>2027</v>
      </c>
    </row>
    <row r="207" spans="1:30" x14ac:dyDescent="0.25">
      <c r="A207">
        <v>1</v>
      </c>
      <c r="B207" s="68">
        <f>SUBTOTAL(9,$A$189:A207)</f>
        <v>19</v>
      </c>
      <c r="C207" s="73" t="s">
        <v>76</v>
      </c>
      <c r="D207" s="70" t="s">
        <v>113</v>
      </c>
      <c r="E207" s="65">
        <f t="shared" si="61"/>
        <v>6283900.4400000004</v>
      </c>
      <c r="F207" s="71">
        <v>0</v>
      </c>
      <c r="G207" s="71">
        <v>0</v>
      </c>
      <c r="H207" s="71">
        <v>0</v>
      </c>
      <c r="I207" s="71">
        <v>0</v>
      </c>
      <c r="J207" s="71">
        <v>0</v>
      </c>
      <c r="K207" s="71">
        <v>0</v>
      </c>
      <c r="L207" s="153">
        <v>0</v>
      </c>
      <c r="M207" s="71">
        <v>0</v>
      </c>
      <c r="N207" s="72">
        <v>350</v>
      </c>
      <c r="O207" s="72">
        <v>5956432.7800000003</v>
      </c>
      <c r="P207" s="71">
        <v>0</v>
      </c>
      <c r="Q207" s="71">
        <v>0</v>
      </c>
      <c r="R207" s="72">
        <v>0</v>
      </c>
      <c r="S207" s="72">
        <v>0</v>
      </c>
      <c r="T207" s="71">
        <v>0</v>
      </c>
      <c r="U207" s="71">
        <v>0</v>
      </c>
      <c r="V207" s="71">
        <v>0</v>
      </c>
      <c r="W207" s="71">
        <v>0</v>
      </c>
      <c r="X207" s="71">
        <v>0</v>
      </c>
      <c r="Y207" s="72">
        <v>200000</v>
      </c>
      <c r="Z207" s="74">
        <v>127467.66</v>
      </c>
      <c r="AA207" s="71">
        <v>0</v>
      </c>
      <c r="AB207" s="70">
        <v>2027</v>
      </c>
      <c r="AC207" s="70">
        <v>2027</v>
      </c>
      <c r="AD207" s="70">
        <v>2027</v>
      </c>
    </row>
    <row r="208" spans="1:30" x14ac:dyDescent="0.25">
      <c r="A208">
        <v>1</v>
      </c>
      <c r="B208" s="68">
        <f>SUBTOTAL(9,$A$189:A208)</f>
        <v>20</v>
      </c>
      <c r="C208" s="73" t="s">
        <v>77</v>
      </c>
      <c r="D208" s="70" t="s">
        <v>113</v>
      </c>
      <c r="E208" s="65">
        <f t="shared" si="61"/>
        <v>19999023.359999999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153">
        <v>0</v>
      </c>
      <c r="M208" s="71">
        <v>0</v>
      </c>
      <c r="N208" s="65">
        <v>1740</v>
      </c>
      <c r="O208" s="65">
        <v>19354830</v>
      </c>
      <c r="P208" s="71">
        <v>0</v>
      </c>
      <c r="Q208" s="71">
        <v>0</v>
      </c>
      <c r="R208" s="72">
        <v>0</v>
      </c>
      <c r="S208" s="72">
        <v>0</v>
      </c>
      <c r="T208" s="71">
        <v>0</v>
      </c>
      <c r="U208" s="71">
        <v>0</v>
      </c>
      <c r="V208" s="71">
        <v>0</v>
      </c>
      <c r="W208" s="71">
        <v>0</v>
      </c>
      <c r="X208" s="71">
        <v>0</v>
      </c>
      <c r="Y208" s="72">
        <v>230000</v>
      </c>
      <c r="Z208" s="74">
        <v>414193.36</v>
      </c>
      <c r="AA208" s="71">
        <v>0</v>
      </c>
      <c r="AB208" s="70">
        <v>2027</v>
      </c>
      <c r="AC208" s="70">
        <v>2027</v>
      </c>
      <c r="AD208" s="70">
        <v>2027</v>
      </c>
    </row>
    <row r="209" spans="1:30" x14ac:dyDescent="0.25">
      <c r="A209">
        <v>1</v>
      </c>
      <c r="B209" s="68">
        <f>SUBTOTAL(9,$A$189:A209)</f>
        <v>21</v>
      </c>
      <c r="C209" s="73" t="s">
        <v>78</v>
      </c>
      <c r="D209" s="70" t="s">
        <v>113</v>
      </c>
      <c r="E209" s="65">
        <f t="shared" si="61"/>
        <v>7562549.9699999997</v>
      </c>
      <c r="F209" s="71">
        <v>0</v>
      </c>
      <c r="G209" s="71">
        <v>0</v>
      </c>
      <c r="H209" s="71">
        <v>0</v>
      </c>
      <c r="I209" s="71">
        <v>0</v>
      </c>
      <c r="J209" s="71">
        <v>7159340.0999999996</v>
      </c>
      <c r="K209" s="71">
        <v>0</v>
      </c>
      <c r="L209" s="153">
        <v>0</v>
      </c>
      <c r="M209" s="71">
        <v>0</v>
      </c>
      <c r="N209" s="65">
        <v>0</v>
      </c>
      <c r="O209" s="65">
        <v>0</v>
      </c>
      <c r="P209" s="71">
        <v>0</v>
      </c>
      <c r="Q209" s="71">
        <v>0</v>
      </c>
      <c r="R209" s="72">
        <v>0</v>
      </c>
      <c r="S209" s="72">
        <v>0</v>
      </c>
      <c r="T209" s="71">
        <v>0</v>
      </c>
      <c r="U209" s="71">
        <v>0</v>
      </c>
      <c r="V209" s="71">
        <v>0</v>
      </c>
      <c r="W209" s="71">
        <v>0</v>
      </c>
      <c r="X209" s="71">
        <v>0</v>
      </c>
      <c r="Y209" s="72">
        <v>250000</v>
      </c>
      <c r="Z209" s="74">
        <v>153209.87</v>
      </c>
      <c r="AA209" s="71">
        <v>0</v>
      </c>
      <c r="AB209" s="70">
        <v>2027</v>
      </c>
      <c r="AC209" s="70">
        <v>2027</v>
      </c>
      <c r="AD209" s="70">
        <v>2027</v>
      </c>
    </row>
    <row r="210" spans="1:30" x14ac:dyDescent="0.25">
      <c r="A210">
        <v>1</v>
      </c>
      <c r="B210" s="68">
        <f>SUBTOTAL(9,$A$189:A210)</f>
        <v>22</v>
      </c>
      <c r="C210" s="73" t="s">
        <v>80</v>
      </c>
      <c r="D210" s="70" t="s">
        <v>113</v>
      </c>
      <c r="E210" s="65">
        <f t="shared" si="61"/>
        <v>7590951.8399999999</v>
      </c>
      <c r="F210" s="71">
        <v>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153">
        <v>0</v>
      </c>
      <c r="M210" s="71">
        <v>0</v>
      </c>
      <c r="N210" s="72">
        <v>598</v>
      </c>
      <c r="O210" s="72">
        <v>7236099.3200000003</v>
      </c>
      <c r="P210" s="71">
        <v>0</v>
      </c>
      <c r="Q210" s="71">
        <v>0</v>
      </c>
      <c r="R210" s="72">
        <v>0</v>
      </c>
      <c r="S210" s="72">
        <v>0</v>
      </c>
      <c r="T210" s="71">
        <v>0</v>
      </c>
      <c r="U210" s="71">
        <v>0</v>
      </c>
      <c r="V210" s="71">
        <v>0</v>
      </c>
      <c r="W210" s="71">
        <v>0</v>
      </c>
      <c r="X210" s="71">
        <v>0</v>
      </c>
      <c r="Y210" s="72">
        <v>200000</v>
      </c>
      <c r="Z210" s="74">
        <v>154852.51999999999</v>
      </c>
      <c r="AA210" s="71">
        <v>0</v>
      </c>
      <c r="AB210" s="70">
        <v>2027</v>
      </c>
      <c r="AC210" s="70">
        <v>2027</v>
      </c>
      <c r="AD210" s="70">
        <v>2027</v>
      </c>
    </row>
    <row r="211" spans="1:30" x14ac:dyDescent="0.25">
      <c r="A211">
        <v>1</v>
      </c>
      <c r="B211" s="68">
        <f>SUBTOTAL(9,$A$189:A211)</f>
        <v>23</v>
      </c>
      <c r="C211" s="73" t="s">
        <v>81</v>
      </c>
      <c r="D211" s="70" t="s">
        <v>113</v>
      </c>
      <c r="E211" s="65">
        <f t="shared" si="61"/>
        <v>4760214.9700000007</v>
      </c>
      <c r="F211" s="71">
        <v>0</v>
      </c>
      <c r="G211" s="71">
        <v>0</v>
      </c>
      <c r="H211" s="71">
        <v>0</v>
      </c>
      <c r="I211" s="71">
        <v>0</v>
      </c>
      <c r="J211" s="71">
        <v>0</v>
      </c>
      <c r="K211" s="71">
        <v>0</v>
      </c>
      <c r="L211" s="153">
        <v>0</v>
      </c>
      <c r="M211" s="71">
        <v>0</v>
      </c>
      <c r="N211" s="72">
        <v>375</v>
      </c>
      <c r="O211" s="74">
        <v>4484251.9800000004</v>
      </c>
      <c r="P211" s="71">
        <v>0</v>
      </c>
      <c r="Q211" s="71">
        <v>0</v>
      </c>
      <c r="R211" s="72">
        <v>0</v>
      </c>
      <c r="S211" s="72">
        <v>0</v>
      </c>
      <c r="T211" s="71">
        <v>0</v>
      </c>
      <c r="U211" s="71">
        <v>0</v>
      </c>
      <c r="V211" s="71">
        <v>0</v>
      </c>
      <c r="W211" s="71">
        <v>0</v>
      </c>
      <c r="X211" s="71">
        <v>0</v>
      </c>
      <c r="Y211" s="72">
        <v>180000</v>
      </c>
      <c r="Z211" s="74">
        <v>95962.99</v>
      </c>
      <c r="AA211" s="71">
        <v>0</v>
      </c>
      <c r="AB211" s="70">
        <v>2027</v>
      </c>
      <c r="AC211" s="70">
        <v>2027</v>
      </c>
      <c r="AD211" s="70">
        <v>2027</v>
      </c>
    </row>
    <row r="212" spans="1:30" x14ac:dyDescent="0.25">
      <c r="A212">
        <v>1</v>
      </c>
      <c r="B212" s="68">
        <f>SUBTOTAL(9,$A$189:A212)</f>
        <v>24</v>
      </c>
      <c r="C212" s="73" t="s">
        <v>82</v>
      </c>
      <c r="D212" s="70" t="s">
        <v>113</v>
      </c>
      <c r="E212" s="65">
        <f t="shared" si="61"/>
        <v>7400543.8800000008</v>
      </c>
      <c r="F212" s="71">
        <v>0</v>
      </c>
      <c r="G212" s="71">
        <v>0</v>
      </c>
      <c r="H212" s="71">
        <v>0</v>
      </c>
      <c r="I212" s="71">
        <v>0</v>
      </c>
      <c r="J212" s="71">
        <v>0</v>
      </c>
      <c r="K212" s="71">
        <v>0</v>
      </c>
      <c r="L212" s="153">
        <v>0</v>
      </c>
      <c r="M212" s="71">
        <v>0</v>
      </c>
      <c r="N212" s="72">
        <v>583</v>
      </c>
      <c r="O212" s="72">
        <v>7049680.4400000004</v>
      </c>
      <c r="P212" s="71">
        <v>0</v>
      </c>
      <c r="Q212" s="71">
        <v>0</v>
      </c>
      <c r="R212" s="72">
        <v>0</v>
      </c>
      <c r="S212" s="72">
        <v>0</v>
      </c>
      <c r="T212" s="71">
        <v>0</v>
      </c>
      <c r="U212" s="71">
        <v>0</v>
      </c>
      <c r="V212" s="71">
        <v>0</v>
      </c>
      <c r="W212" s="71">
        <v>0</v>
      </c>
      <c r="X212" s="71">
        <v>0</v>
      </c>
      <c r="Y212" s="72">
        <v>200000</v>
      </c>
      <c r="Z212" s="74">
        <v>150863.44</v>
      </c>
      <c r="AA212" s="71">
        <v>0</v>
      </c>
      <c r="AB212" s="70">
        <v>2027</v>
      </c>
      <c r="AC212" s="70">
        <v>2027</v>
      </c>
      <c r="AD212" s="70">
        <v>2027</v>
      </c>
    </row>
    <row r="213" spans="1:30" x14ac:dyDescent="0.25">
      <c r="A213">
        <v>1</v>
      </c>
      <c r="B213" s="68">
        <f>SUBTOTAL(9,$A$189:A213)</f>
        <v>25</v>
      </c>
      <c r="C213" s="73" t="s">
        <v>83</v>
      </c>
      <c r="D213" s="70" t="s">
        <v>113</v>
      </c>
      <c r="E213" s="65">
        <f t="shared" si="61"/>
        <v>7384605.04</v>
      </c>
      <c r="F213" s="71">
        <v>0</v>
      </c>
      <c r="G213" s="71">
        <v>0</v>
      </c>
      <c r="H213" s="71">
        <v>0</v>
      </c>
      <c r="I213" s="71">
        <v>0</v>
      </c>
      <c r="J213" s="71">
        <v>0</v>
      </c>
      <c r="K213" s="71">
        <v>0</v>
      </c>
      <c r="L213" s="153">
        <v>0</v>
      </c>
      <c r="M213" s="71">
        <v>0</v>
      </c>
      <c r="N213" s="71">
        <v>571</v>
      </c>
      <c r="O213" s="72">
        <v>7034075.8200000003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2">
        <v>200000</v>
      </c>
      <c r="Z213" s="72">
        <v>150529.22</v>
      </c>
      <c r="AA213" s="71">
        <v>0</v>
      </c>
      <c r="AB213" s="70">
        <v>2027</v>
      </c>
      <c r="AC213" s="70">
        <v>2027</v>
      </c>
      <c r="AD213" s="70">
        <v>2027</v>
      </c>
    </row>
    <row r="214" spans="1:30" x14ac:dyDescent="0.25">
      <c r="A214">
        <v>1</v>
      </c>
      <c r="B214" s="68">
        <f>SUBTOTAL(9,$A$189:A214)</f>
        <v>26</v>
      </c>
      <c r="C214" s="73" t="s">
        <v>79</v>
      </c>
      <c r="D214" s="70" t="s">
        <v>113</v>
      </c>
      <c r="E214" s="65">
        <f t="shared" si="61"/>
        <v>10282055.020000001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153">
        <v>0</v>
      </c>
      <c r="M214" s="71">
        <v>0</v>
      </c>
      <c r="N214" s="72">
        <v>814</v>
      </c>
      <c r="O214" s="72">
        <v>9933059.1300000008</v>
      </c>
      <c r="P214" s="71">
        <v>0</v>
      </c>
      <c r="Q214" s="71">
        <v>0</v>
      </c>
      <c r="R214" s="72">
        <v>0</v>
      </c>
      <c r="S214" s="72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2">
        <v>200000</v>
      </c>
      <c r="Z214" s="72">
        <f>ROUND(O214*1.5%,2)</f>
        <v>148995.89000000001</v>
      </c>
      <c r="AA214" s="71">
        <v>0</v>
      </c>
      <c r="AB214" s="70">
        <v>2027</v>
      </c>
      <c r="AC214" s="70">
        <v>2027</v>
      </c>
      <c r="AD214" s="70">
        <v>2027</v>
      </c>
    </row>
    <row r="215" spans="1:30" x14ac:dyDescent="0.25">
      <c r="A215">
        <v>1</v>
      </c>
      <c r="B215" s="68">
        <f>SUBTOTAL(9,$A$189:A215)</f>
        <v>27</v>
      </c>
      <c r="C215" s="73" t="s">
        <v>86</v>
      </c>
      <c r="D215" s="79" t="s">
        <v>113</v>
      </c>
      <c r="E215" s="65">
        <f t="shared" si="61"/>
        <v>4163085.72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153">
        <v>1</v>
      </c>
      <c r="M215" s="71">
        <v>3904517.95</v>
      </c>
      <c r="N215" s="65">
        <v>0</v>
      </c>
      <c r="O215" s="65">
        <v>0</v>
      </c>
      <c r="P215" s="71">
        <v>0</v>
      </c>
      <c r="Q215" s="71">
        <v>0</v>
      </c>
      <c r="R215" s="71">
        <v>0</v>
      </c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2">
        <v>200000</v>
      </c>
      <c r="Z215" s="72">
        <f t="shared" ref="Z215:Z221" si="62">ROUND(M215*1.5%,2)</f>
        <v>58567.77</v>
      </c>
      <c r="AA215" s="71">
        <v>0</v>
      </c>
      <c r="AB215" s="70">
        <v>2027</v>
      </c>
      <c r="AC215" s="70">
        <v>2027</v>
      </c>
      <c r="AD215" s="70">
        <v>2027</v>
      </c>
    </row>
    <row r="216" spans="1:30" x14ac:dyDescent="0.25">
      <c r="A216">
        <v>1</v>
      </c>
      <c r="B216" s="68">
        <f>SUBTOTAL(9,$A$189:A216)</f>
        <v>28</v>
      </c>
      <c r="C216" s="73" t="s">
        <v>89</v>
      </c>
      <c r="D216" s="79" t="s">
        <v>113</v>
      </c>
      <c r="E216" s="65">
        <f t="shared" si="61"/>
        <v>4163085.72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153">
        <v>1</v>
      </c>
      <c r="M216" s="71">
        <v>3904517.95</v>
      </c>
      <c r="N216" s="65">
        <v>0</v>
      </c>
      <c r="O216" s="65">
        <v>0</v>
      </c>
      <c r="P216" s="71">
        <v>0</v>
      </c>
      <c r="Q216" s="71">
        <v>0</v>
      </c>
      <c r="R216" s="71">
        <v>0</v>
      </c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2">
        <v>200000</v>
      </c>
      <c r="Z216" s="72">
        <f t="shared" si="62"/>
        <v>58567.77</v>
      </c>
      <c r="AA216" s="71">
        <v>0</v>
      </c>
      <c r="AB216" s="70">
        <v>2027</v>
      </c>
      <c r="AC216" s="70">
        <v>2027</v>
      </c>
      <c r="AD216" s="70">
        <v>2027</v>
      </c>
    </row>
    <row r="217" spans="1:30" x14ac:dyDescent="0.25">
      <c r="A217">
        <v>1</v>
      </c>
      <c r="B217" s="68">
        <f>SUBTOTAL(9,$A$189:A217)</f>
        <v>29</v>
      </c>
      <c r="C217" s="73" t="s">
        <v>94</v>
      </c>
      <c r="D217" s="79" t="s">
        <v>113</v>
      </c>
      <c r="E217" s="65">
        <f t="shared" si="61"/>
        <v>4163085.72</v>
      </c>
      <c r="F217" s="71">
        <v>0</v>
      </c>
      <c r="G217" s="71">
        <v>0</v>
      </c>
      <c r="H217" s="71">
        <v>0</v>
      </c>
      <c r="I217" s="71">
        <v>0</v>
      </c>
      <c r="J217" s="71">
        <v>0</v>
      </c>
      <c r="K217" s="71">
        <v>0</v>
      </c>
      <c r="L217" s="153">
        <v>1</v>
      </c>
      <c r="M217" s="71">
        <v>3904517.95</v>
      </c>
      <c r="N217" s="65">
        <v>0</v>
      </c>
      <c r="O217" s="65">
        <v>0</v>
      </c>
      <c r="P217" s="71">
        <v>0</v>
      </c>
      <c r="Q217" s="71">
        <v>0</v>
      </c>
      <c r="R217" s="71">
        <v>0</v>
      </c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2">
        <v>200000</v>
      </c>
      <c r="Z217" s="72">
        <f t="shared" si="62"/>
        <v>58567.77</v>
      </c>
      <c r="AA217" s="71">
        <v>0</v>
      </c>
      <c r="AB217" s="70">
        <v>2027</v>
      </c>
      <c r="AC217" s="70">
        <v>2027</v>
      </c>
      <c r="AD217" s="70">
        <v>2027</v>
      </c>
    </row>
    <row r="218" spans="1:30" x14ac:dyDescent="0.25">
      <c r="A218">
        <v>1</v>
      </c>
      <c r="B218" s="68">
        <f>SUBTOTAL(9,$A$189:A218)</f>
        <v>30</v>
      </c>
      <c r="C218" s="73" t="s">
        <v>97</v>
      </c>
      <c r="D218" s="79" t="s">
        <v>113</v>
      </c>
      <c r="E218" s="65">
        <f t="shared" si="61"/>
        <v>4228644.46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153">
        <v>1</v>
      </c>
      <c r="M218" s="71">
        <v>3969107.84</v>
      </c>
      <c r="N218" s="65">
        <v>0</v>
      </c>
      <c r="O218" s="65">
        <v>0</v>
      </c>
      <c r="P218" s="71">
        <v>0</v>
      </c>
      <c r="Q218" s="71">
        <v>0</v>
      </c>
      <c r="R218" s="71">
        <v>0</v>
      </c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2">
        <v>200000</v>
      </c>
      <c r="Z218" s="72">
        <f t="shared" si="62"/>
        <v>59536.62</v>
      </c>
      <c r="AA218" s="71">
        <v>0</v>
      </c>
      <c r="AB218" s="70">
        <v>2027</v>
      </c>
      <c r="AC218" s="70">
        <v>2027</v>
      </c>
      <c r="AD218" s="70">
        <v>2027</v>
      </c>
    </row>
    <row r="219" spans="1:30" x14ac:dyDescent="0.25">
      <c r="A219">
        <v>1</v>
      </c>
      <c r="B219" s="68">
        <f>SUBTOTAL(9,$A$189:A219)</f>
        <v>31</v>
      </c>
      <c r="C219" s="73" t="s">
        <v>105</v>
      </c>
      <c r="D219" s="79" t="s">
        <v>113</v>
      </c>
      <c r="E219" s="65">
        <v>4163085.7199999997</v>
      </c>
      <c r="F219" s="71">
        <v>0</v>
      </c>
      <c r="G219" s="71">
        <v>0</v>
      </c>
      <c r="H219" s="71">
        <v>0</v>
      </c>
      <c r="I219" s="71">
        <v>0</v>
      </c>
      <c r="J219" s="71">
        <v>0</v>
      </c>
      <c r="K219" s="71">
        <v>0</v>
      </c>
      <c r="L219" s="153">
        <v>1</v>
      </c>
      <c r="M219" s="71">
        <v>3904517.95</v>
      </c>
      <c r="N219" s="65">
        <v>0</v>
      </c>
      <c r="O219" s="65">
        <v>0</v>
      </c>
      <c r="P219" s="71">
        <v>0</v>
      </c>
      <c r="Q219" s="71">
        <v>0</v>
      </c>
      <c r="R219" s="71">
        <v>0</v>
      </c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2">
        <v>200000</v>
      </c>
      <c r="Z219" s="72">
        <f t="shared" si="62"/>
        <v>58567.77</v>
      </c>
      <c r="AA219" s="71">
        <v>0</v>
      </c>
      <c r="AB219" s="70">
        <v>2027</v>
      </c>
      <c r="AC219" s="70">
        <v>2027</v>
      </c>
      <c r="AD219" s="70">
        <v>2027</v>
      </c>
    </row>
    <row r="220" spans="1:30" x14ac:dyDescent="0.25">
      <c r="A220">
        <v>1</v>
      </c>
      <c r="B220" s="68">
        <f>SUBTOTAL(9,$A$189:A220)</f>
        <v>32</v>
      </c>
      <c r="C220" s="73" t="s">
        <v>636</v>
      </c>
      <c r="D220" s="79" t="s">
        <v>113</v>
      </c>
      <c r="E220" s="65">
        <f t="shared" si="61"/>
        <v>8326563</v>
      </c>
      <c r="F220" s="71">
        <v>0</v>
      </c>
      <c r="G220" s="71">
        <v>0</v>
      </c>
      <c r="H220" s="71">
        <v>0</v>
      </c>
      <c r="I220" s="71">
        <v>0</v>
      </c>
      <c r="J220" s="71">
        <v>0</v>
      </c>
      <c r="K220" s="71">
        <v>0</v>
      </c>
      <c r="L220" s="153">
        <v>2</v>
      </c>
      <c r="M220" s="71">
        <v>8006466.0099999998</v>
      </c>
      <c r="N220" s="65">
        <v>0</v>
      </c>
      <c r="O220" s="65">
        <v>0</v>
      </c>
      <c r="P220" s="71">
        <v>0</v>
      </c>
      <c r="Q220" s="71">
        <v>0</v>
      </c>
      <c r="R220" s="71">
        <v>0</v>
      </c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2">
        <v>200000</v>
      </c>
      <c r="Z220" s="72">
        <f t="shared" si="62"/>
        <v>120096.99</v>
      </c>
      <c r="AA220" s="71">
        <v>0</v>
      </c>
      <c r="AB220" s="70">
        <v>2027</v>
      </c>
      <c r="AC220" s="70">
        <v>2027</v>
      </c>
      <c r="AD220" s="70">
        <v>2027</v>
      </c>
    </row>
    <row r="221" spans="1:30" x14ac:dyDescent="0.25">
      <c r="A221">
        <v>1</v>
      </c>
      <c r="B221" s="68">
        <f>SUBTOTAL(9,$A$189:A221)</f>
        <v>33</v>
      </c>
      <c r="C221" s="73" t="s">
        <v>680</v>
      </c>
      <c r="D221" s="79" t="s">
        <v>113</v>
      </c>
      <c r="E221" s="65">
        <f t="shared" si="61"/>
        <v>4002526.5</v>
      </c>
      <c r="F221" s="71">
        <v>0</v>
      </c>
      <c r="G221" s="71">
        <v>0</v>
      </c>
      <c r="H221" s="71">
        <v>0</v>
      </c>
      <c r="I221" s="71">
        <v>0</v>
      </c>
      <c r="J221" s="71">
        <v>0</v>
      </c>
      <c r="K221" s="71">
        <v>0</v>
      </c>
      <c r="L221" s="153">
        <v>1</v>
      </c>
      <c r="M221" s="71">
        <v>3746331.53</v>
      </c>
      <c r="N221" s="65">
        <v>0</v>
      </c>
      <c r="O221" s="65">
        <v>0</v>
      </c>
      <c r="P221" s="71">
        <v>0</v>
      </c>
      <c r="Q221" s="71">
        <v>0</v>
      </c>
      <c r="R221" s="71">
        <v>0</v>
      </c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2">
        <v>200000</v>
      </c>
      <c r="Z221" s="72">
        <f t="shared" si="62"/>
        <v>56194.97</v>
      </c>
      <c r="AA221" s="71">
        <v>0</v>
      </c>
      <c r="AB221" s="70">
        <v>2027</v>
      </c>
      <c r="AC221" s="70">
        <v>2027</v>
      </c>
      <c r="AD221" s="70">
        <v>2027</v>
      </c>
    </row>
    <row r="222" spans="1:30" x14ac:dyDescent="0.25">
      <c r="A222">
        <v>1</v>
      </c>
      <c r="B222" s="68">
        <f>SUBTOTAL(9,$A$189:A222)</f>
        <v>34</v>
      </c>
      <c r="C222" s="73" t="s">
        <v>683</v>
      </c>
      <c r="D222" s="79" t="s">
        <v>113</v>
      </c>
      <c r="E222" s="65">
        <f>F222+G222+H222+I222+J222+K222+M222+O222+Q222+S222+U222+V222+W222+X222+Y222+Z222+AA222</f>
        <v>1628382.82</v>
      </c>
      <c r="F222" s="71">
        <v>0</v>
      </c>
      <c r="G222" s="71">
        <v>0</v>
      </c>
      <c r="H222" s="71">
        <v>0</v>
      </c>
      <c r="I222" s="71">
        <v>0</v>
      </c>
      <c r="J222" s="71">
        <v>1456534.8</v>
      </c>
      <c r="K222" s="71">
        <v>0</v>
      </c>
      <c r="L222" s="153">
        <v>0</v>
      </c>
      <c r="M222" s="71">
        <v>0</v>
      </c>
      <c r="N222" s="65">
        <v>0</v>
      </c>
      <c r="O222" s="65">
        <v>0</v>
      </c>
      <c r="P222" s="71">
        <v>0</v>
      </c>
      <c r="Q222" s="71">
        <v>0</v>
      </c>
      <c r="R222" s="71">
        <v>0</v>
      </c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2">
        <v>150000</v>
      </c>
      <c r="Z222" s="72">
        <f>ROUND(J222*1.5%,2)</f>
        <v>21848.02</v>
      </c>
      <c r="AA222" s="71">
        <v>0</v>
      </c>
      <c r="AB222" s="70">
        <v>2027</v>
      </c>
      <c r="AC222" s="70">
        <v>2027</v>
      </c>
      <c r="AD222" s="70">
        <v>2027</v>
      </c>
    </row>
    <row r="223" spans="1:30" x14ac:dyDescent="0.25">
      <c r="A223">
        <v>1</v>
      </c>
      <c r="B223" s="68">
        <f>SUBTOTAL(9,$A$189:A223)</f>
        <v>35</v>
      </c>
      <c r="C223" s="73" t="s">
        <v>684</v>
      </c>
      <c r="D223" s="79" t="s">
        <v>113</v>
      </c>
      <c r="E223" s="65">
        <f>F223+G223+H223+I223+J223+K223+M223+O223+Q223+S223+U223+V223+W223+X223+Y223+Z223+AA223</f>
        <v>7845207.1800000006</v>
      </c>
      <c r="F223" s="71">
        <v>0</v>
      </c>
      <c r="G223" s="71">
        <v>0</v>
      </c>
      <c r="H223" s="71">
        <v>0</v>
      </c>
      <c r="I223" s="71">
        <v>0</v>
      </c>
      <c r="J223" s="71">
        <v>0</v>
      </c>
      <c r="K223" s="71">
        <v>0</v>
      </c>
      <c r="L223" s="153">
        <v>0</v>
      </c>
      <c r="M223" s="71">
        <v>0</v>
      </c>
      <c r="N223" s="65">
        <v>618</v>
      </c>
      <c r="O223" s="65">
        <v>7482962.7400000002</v>
      </c>
      <c r="P223" s="71">
        <v>0</v>
      </c>
      <c r="Q223" s="71">
        <v>0</v>
      </c>
      <c r="R223" s="71">
        <v>0</v>
      </c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2">
        <v>250000</v>
      </c>
      <c r="Z223" s="72">
        <f>ROUND(O223*1.5%,2)</f>
        <v>112244.44</v>
      </c>
      <c r="AA223" s="71">
        <v>0</v>
      </c>
      <c r="AB223" s="70">
        <v>2027</v>
      </c>
      <c r="AC223" s="70">
        <v>2027</v>
      </c>
      <c r="AD223" s="70">
        <v>2027</v>
      </c>
    </row>
    <row r="224" spans="1:30" x14ac:dyDescent="0.3">
      <c r="B224" s="62" t="s">
        <v>417</v>
      </c>
      <c r="C224" s="63"/>
      <c r="D224" s="64"/>
      <c r="E224" s="65">
        <f>SUM(E225:E228)</f>
        <v>52701776.930000007</v>
      </c>
      <c r="F224" s="65">
        <f t="shared" ref="F224:AA224" si="63">SUM(F225:F228)</f>
        <v>0</v>
      </c>
      <c r="G224" s="65">
        <f t="shared" si="63"/>
        <v>0</v>
      </c>
      <c r="H224" s="65">
        <f t="shared" si="63"/>
        <v>0</v>
      </c>
      <c r="I224" s="65">
        <f t="shared" si="63"/>
        <v>0</v>
      </c>
      <c r="J224" s="65">
        <f t="shared" si="63"/>
        <v>0</v>
      </c>
      <c r="K224" s="65">
        <f t="shared" si="63"/>
        <v>0</v>
      </c>
      <c r="L224" s="152">
        <f t="shared" si="63"/>
        <v>0</v>
      </c>
      <c r="M224" s="65">
        <f t="shared" si="63"/>
        <v>0</v>
      </c>
      <c r="N224" s="65">
        <f t="shared" si="63"/>
        <v>4134.92</v>
      </c>
      <c r="O224" s="65">
        <f t="shared" si="63"/>
        <v>51036233.420000002</v>
      </c>
      <c r="P224" s="65">
        <f t="shared" si="63"/>
        <v>0</v>
      </c>
      <c r="Q224" s="65">
        <f t="shared" si="63"/>
        <v>0</v>
      </c>
      <c r="R224" s="65">
        <f t="shared" si="63"/>
        <v>0</v>
      </c>
      <c r="S224" s="65">
        <f t="shared" si="63"/>
        <v>0</v>
      </c>
      <c r="T224" s="65">
        <f t="shared" si="63"/>
        <v>0</v>
      </c>
      <c r="U224" s="65">
        <f t="shared" si="63"/>
        <v>0</v>
      </c>
      <c r="V224" s="65">
        <f t="shared" si="63"/>
        <v>0</v>
      </c>
      <c r="W224" s="65">
        <f t="shared" si="63"/>
        <v>0</v>
      </c>
      <c r="X224" s="65">
        <f t="shared" si="63"/>
        <v>0</v>
      </c>
      <c r="Y224" s="65">
        <f t="shared" si="63"/>
        <v>900000</v>
      </c>
      <c r="Z224" s="65">
        <f t="shared" si="63"/>
        <v>765543.51</v>
      </c>
      <c r="AA224" s="65">
        <f t="shared" si="63"/>
        <v>0</v>
      </c>
      <c r="AB224" s="66" t="s">
        <v>423</v>
      </c>
      <c r="AC224" s="66" t="s">
        <v>423</v>
      </c>
      <c r="AD224" s="66" t="s">
        <v>423</v>
      </c>
    </row>
    <row r="225" spans="1:30" x14ac:dyDescent="0.3">
      <c r="A225">
        <v>1</v>
      </c>
      <c r="B225" s="68">
        <f>SUBTOTAL(9,$A$189:A225)</f>
        <v>36</v>
      </c>
      <c r="C225" s="73" t="s">
        <v>160</v>
      </c>
      <c r="D225" s="79" t="s">
        <v>169</v>
      </c>
      <c r="E225" s="65">
        <f t="shared" ref="E225:E228" si="64">F225+G225+H225+I225+J225+K225+M225+O225+Q225+S225+U225+V225+W225+X225+Z225+AA225+Y225</f>
        <v>11425450.719999999</v>
      </c>
      <c r="F225" s="77">
        <v>0</v>
      </c>
      <c r="G225" s="77">
        <v>0</v>
      </c>
      <c r="H225" s="77">
        <v>0</v>
      </c>
      <c r="I225" s="77">
        <v>0</v>
      </c>
      <c r="J225" s="77">
        <v>0</v>
      </c>
      <c r="K225" s="77">
        <v>0</v>
      </c>
      <c r="L225" s="155">
        <v>0</v>
      </c>
      <c r="M225" s="77">
        <v>0</v>
      </c>
      <c r="N225" s="72">
        <v>883.41</v>
      </c>
      <c r="O225" s="72">
        <v>10961035.189999999</v>
      </c>
      <c r="P225" s="77">
        <v>0</v>
      </c>
      <c r="Q225" s="77">
        <v>0</v>
      </c>
      <c r="R225" s="77">
        <v>0</v>
      </c>
      <c r="S225" s="77">
        <v>0</v>
      </c>
      <c r="T225" s="77">
        <v>0</v>
      </c>
      <c r="U225" s="77">
        <v>0</v>
      </c>
      <c r="V225" s="77">
        <v>0</v>
      </c>
      <c r="W225" s="77">
        <v>0</v>
      </c>
      <c r="X225" s="77">
        <v>0</v>
      </c>
      <c r="Y225" s="77">
        <v>300000</v>
      </c>
      <c r="Z225" s="77">
        <f t="shared" ref="Z225:Z228" si="65">ROUND(O225*1.5%,2)</f>
        <v>164415.53</v>
      </c>
      <c r="AA225" s="77">
        <v>0</v>
      </c>
      <c r="AB225" s="70">
        <v>2027</v>
      </c>
      <c r="AC225" s="70">
        <v>2027</v>
      </c>
      <c r="AD225" s="70">
        <v>2027</v>
      </c>
    </row>
    <row r="226" spans="1:30" x14ac:dyDescent="0.3">
      <c r="A226">
        <v>1</v>
      </c>
      <c r="B226" s="68">
        <f>SUBTOTAL(9,$A$189:A226)</f>
        <v>37</v>
      </c>
      <c r="C226" s="73" t="s">
        <v>161</v>
      </c>
      <c r="D226" s="79" t="s">
        <v>169</v>
      </c>
      <c r="E226" s="65">
        <f t="shared" si="64"/>
        <v>14287797.950000001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7">
        <v>0</v>
      </c>
      <c r="L226" s="155">
        <v>0</v>
      </c>
      <c r="M226" s="77">
        <v>0</v>
      </c>
      <c r="N226" s="72">
        <v>1125.51</v>
      </c>
      <c r="O226" s="72">
        <v>13879603.890000001</v>
      </c>
      <c r="P226" s="77">
        <v>0</v>
      </c>
      <c r="Q226" s="77">
        <v>0</v>
      </c>
      <c r="R226" s="77">
        <v>0</v>
      </c>
      <c r="S226" s="77">
        <v>0</v>
      </c>
      <c r="T226" s="77">
        <v>0</v>
      </c>
      <c r="U226" s="77">
        <v>0</v>
      </c>
      <c r="V226" s="77">
        <v>0</v>
      </c>
      <c r="W226" s="77">
        <v>0</v>
      </c>
      <c r="X226" s="77">
        <v>0</v>
      </c>
      <c r="Y226" s="77">
        <v>200000</v>
      </c>
      <c r="Z226" s="77">
        <f t="shared" si="65"/>
        <v>208194.06</v>
      </c>
      <c r="AA226" s="77">
        <v>0</v>
      </c>
      <c r="AB226" s="70">
        <v>2027</v>
      </c>
      <c r="AC226" s="70">
        <v>2027</v>
      </c>
      <c r="AD226" s="70">
        <v>2027</v>
      </c>
    </row>
    <row r="227" spans="1:30" x14ac:dyDescent="0.3">
      <c r="A227">
        <v>1</v>
      </c>
      <c r="B227" s="68">
        <f>SUBTOTAL(9,$A$189:A227)</f>
        <v>38</v>
      </c>
      <c r="C227" s="73" t="s">
        <v>162</v>
      </c>
      <c r="D227" s="79" t="s">
        <v>169</v>
      </c>
      <c r="E227" s="65">
        <f t="shared" si="64"/>
        <v>4646190.66</v>
      </c>
      <c r="F227" s="77">
        <v>0</v>
      </c>
      <c r="G227" s="77">
        <v>0</v>
      </c>
      <c r="H227" s="77">
        <v>0</v>
      </c>
      <c r="I227" s="77">
        <v>0</v>
      </c>
      <c r="J227" s="77">
        <v>0</v>
      </c>
      <c r="K227" s="77">
        <v>0</v>
      </c>
      <c r="L227" s="155">
        <v>0</v>
      </c>
      <c r="M227" s="77">
        <v>0</v>
      </c>
      <c r="N227" s="72">
        <v>366</v>
      </c>
      <c r="O227" s="72">
        <v>4429744.49</v>
      </c>
      <c r="P227" s="77">
        <v>0</v>
      </c>
      <c r="Q227" s="77">
        <v>0</v>
      </c>
      <c r="R227" s="77">
        <v>0</v>
      </c>
      <c r="S227" s="77">
        <v>0</v>
      </c>
      <c r="T227" s="77">
        <v>0</v>
      </c>
      <c r="U227" s="77">
        <v>0</v>
      </c>
      <c r="V227" s="77">
        <v>0</v>
      </c>
      <c r="W227" s="77">
        <v>0</v>
      </c>
      <c r="X227" s="77">
        <v>0</v>
      </c>
      <c r="Y227" s="77">
        <v>150000</v>
      </c>
      <c r="Z227" s="77">
        <f t="shared" si="65"/>
        <v>66446.17</v>
      </c>
      <c r="AA227" s="77">
        <v>0</v>
      </c>
      <c r="AB227" s="70">
        <v>2027</v>
      </c>
      <c r="AC227" s="70">
        <v>2027</v>
      </c>
      <c r="AD227" s="70">
        <v>2027</v>
      </c>
    </row>
    <row r="228" spans="1:30" x14ac:dyDescent="0.3">
      <c r="A228">
        <v>1</v>
      </c>
      <c r="B228" s="68">
        <f>SUBTOTAL(9,$A$189:A228)</f>
        <v>39</v>
      </c>
      <c r="C228" s="73" t="s">
        <v>163</v>
      </c>
      <c r="D228" s="79" t="s">
        <v>169</v>
      </c>
      <c r="E228" s="65">
        <f t="shared" si="64"/>
        <v>22342337.600000001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155">
        <v>0</v>
      </c>
      <c r="M228" s="77">
        <v>0</v>
      </c>
      <c r="N228" s="72">
        <v>1760</v>
      </c>
      <c r="O228" s="72">
        <v>21765849.850000001</v>
      </c>
      <c r="P228" s="77">
        <v>0</v>
      </c>
      <c r="Q228" s="77">
        <v>0</v>
      </c>
      <c r="R228" s="77">
        <v>0</v>
      </c>
      <c r="S228" s="77">
        <v>0</v>
      </c>
      <c r="T228" s="77">
        <v>0</v>
      </c>
      <c r="U228" s="77">
        <v>0</v>
      </c>
      <c r="V228" s="77">
        <v>0</v>
      </c>
      <c r="W228" s="77">
        <v>0</v>
      </c>
      <c r="X228" s="77">
        <v>0</v>
      </c>
      <c r="Y228" s="77">
        <v>250000</v>
      </c>
      <c r="Z228" s="77">
        <f t="shared" si="65"/>
        <v>326487.75</v>
      </c>
      <c r="AA228" s="77">
        <v>0</v>
      </c>
      <c r="AB228" s="70">
        <v>2027</v>
      </c>
      <c r="AC228" s="70">
        <v>2027</v>
      </c>
      <c r="AD228" s="70">
        <v>2027</v>
      </c>
    </row>
    <row r="229" spans="1:30" x14ac:dyDescent="0.3">
      <c r="B229" s="62" t="s">
        <v>415</v>
      </c>
      <c r="C229" s="63"/>
      <c r="D229" s="64"/>
      <c r="E229" s="65">
        <f>SUM(E230:E247)</f>
        <v>219003561.21000001</v>
      </c>
      <c r="F229" s="65">
        <f>SUM(F230:F247)</f>
        <v>0</v>
      </c>
      <c r="G229" s="65">
        <f t="shared" ref="G229:AA229" si="66">SUM(G230:G247)</f>
        <v>0</v>
      </c>
      <c r="H229" s="65">
        <f t="shared" si="66"/>
        <v>0</v>
      </c>
      <c r="I229" s="65">
        <f t="shared" si="66"/>
        <v>0</v>
      </c>
      <c r="J229" s="65">
        <f t="shared" si="66"/>
        <v>0</v>
      </c>
      <c r="K229" s="65">
        <f t="shared" si="66"/>
        <v>0</v>
      </c>
      <c r="L229" s="152">
        <f t="shared" si="66"/>
        <v>11</v>
      </c>
      <c r="M229" s="65">
        <f t="shared" si="66"/>
        <v>42944380.789999999</v>
      </c>
      <c r="N229" s="65">
        <f t="shared" si="66"/>
        <v>12142.07</v>
      </c>
      <c r="O229" s="65">
        <f t="shared" si="66"/>
        <v>165052323.89000002</v>
      </c>
      <c r="P229" s="65">
        <f t="shared" si="66"/>
        <v>0</v>
      </c>
      <c r="Q229" s="65">
        <f t="shared" si="66"/>
        <v>0</v>
      </c>
      <c r="R229" s="65">
        <f t="shared" si="66"/>
        <v>369.2</v>
      </c>
      <c r="S229" s="65">
        <f t="shared" si="66"/>
        <v>3977247.26</v>
      </c>
      <c r="T229" s="65">
        <f t="shared" si="66"/>
        <v>0</v>
      </c>
      <c r="U229" s="65">
        <f t="shared" si="66"/>
        <v>0</v>
      </c>
      <c r="V229" s="65">
        <f t="shared" si="66"/>
        <v>0</v>
      </c>
      <c r="W229" s="65">
        <f t="shared" si="66"/>
        <v>0</v>
      </c>
      <c r="X229" s="65">
        <f t="shared" si="66"/>
        <v>0</v>
      </c>
      <c r="Y229" s="65">
        <f t="shared" si="66"/>
        <v>3850000</v>
      </c>
      <c r="Z229" s="65">
        <f t="shared" si="66"/>
        <v>3179609.27</v>
      </c>
      <c r="AA229" s="65">
        <f t="shared" si="66"/>
        <v>0</v>
      </c>
      <c r="AB229" s="66" t="s">
        <v>423</v>
      </c>
      <c r="AC229" s="66" t="s">
        <v>423</v>
      </c>
      <c r="AD229" s="66" t="s">
        <v>423</v>
      </c>
    </row>
    <row r="230" spans="1:30" x14ac:dyDescent="0.3">
      <c r="A230">
        <v>1</v>
      </c>
      <c r="B230" s="68">
        <f>SUBTOTAL(9,$A$189:A230)</f>
        <v>40</v>
      </c>
      <c r="C230" s="73" t="s">
        <v>124</v>
      </c>
      <c r="D230" s="79" t="s">
        <v>153</v>
      </c>
      <c r="E230" s="65">
        <f t="shared" ref="E230:E247" si="67">F230+G230+H230+I230+J230+K230+M230+O230+Q230+S230+U230+V230+W230+X230+Z230+AA230+Y230</f>
        <v>4236905.97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155">
        <v>0</v>
      </c>
      <c r="M230" s="77">
        <v>0</v>
      </c>
      <c r="N230" s="72">
        <v>0</v>
      </c>
      <c r="O230" s="72">
        <v>0</v>
      </c>
      <c r="P230" s="77">
        <v>0</v>
      </c>
      <c r="Q230" s="77">
        <v>0</v>
      </c>
      <c r="R230" s="72">
        <v>369.2</v>
      </c>
      <c r="S230" s="72">
        <v>3977247.26</v>
      </c>
      <c r="T230" s="77">
        <v>0</v>
      </c>
      <c r="U230" s="77">
        <v>0</v>
      </c>
      <c r="V230" s="77">
        <v>0</v>
      </c>
      <c r="W230" s="77">
        <v>0</v>
      </c>
      <c r="X230" s="77">
        <v>0</v>
      </c>
      <c r="Y230" s="77">
        <v>200000</v>
      </c>
      <c r="Z230" s="77">
        <f>ROUND(S230*1.5%,2)</f>
        <v>59658.71</v>
      </c>
      <c r="AA230" s="77">
        <v>0</v>
      </c>
      <c r="AB230" s="70">
        <v>2027</v>
      </c>
      <c r="AC230" s="70">
        <v>2027</v>
      </c>
      <c r="AD230" s="70">
        <v>2027</v>
      </c>
    </row>
    <row r="231" spans="1:30" x14ac:dyDescent="0.3">
      <c r="A231">
        <v>1</v>
      </c>
      <c r="B231" s="68">
        <f>SUBTOTAL(9,$A$189:A231)</f>
        <v>41</v>
      </c>
      <c r="C231" s="73" t="s">
        <v>125</v>
      </c>
      <c r="D231" s="79" t="s">
        <v>153</v>
      </c>
      <c r="E231" s="65">
        <f t="shared" si="67"/>
        <v>10665186.84</v>
      </c>
      <c r="F231" s="77">
        <v>0</v>
      </c>
      <c r="G231" s="77">
        <v>0</v>
      </c>
      <c r="H231" s="77">
        <v>0</v>
      </c>
      <c r="I231" s="77">
        <v>0</v>
      </c>
      <c r="J231" s="77">
        <v>0</v>
      </c>
      <c r="K231" s="77">
        <v>0</v>
      </c>
      <c r="L231" s="155">
        <v>0</v>
      </c>
      <c r="M231" s="77">
        <v>0</v>
      </c>
      <c r="N231" s="72">
        <v>594.1</v>
      </c>
      <c r="O231" s="72">
        <v>10310528.91</v>
      </c>
      <c r="P231" s="77">
        <v>0</v>
      </c>
      <c r="Q231" s="77">
        <v>0</v>
      </c>
      <c r="R231" s="77">
        <v>0</v>
      </c>
      <c r="S231" s="77">
        <v>0</v>
      </c>
      <c r="T231" s="77">
        <v>0</v>
      </c>
      <c r="U231" s="77">
        <v>0</v>
      </c>
      <c r="V231" s="77">
        <v>0</v>
      </c>
      <c r="W231" s="77">
        <v>0</v>
      </c>
      <c r="X231" s="77">
        <v>0</v>
      </c>
      <c r="Y231" s="77">
        <v>200000</v>
      </c>
      <c r="Z231" s="77">
        <f t="shared" ref="Z231:Z245" si="68">ROUND(O231*1.5%,2)</f>
        <v>154657.93</v>
      </c>
      <c r="AA231" s="77">
        <v>0</v>
      </c>
      <c r="AB231" s="70">
        <v>2027</v>
      </c>
      <c r="AC231" s="70">
        <v>2027</v>
      </c>
      <c r="AD231" s="70">
        <v>2027</v>
      </c>
    </row>
    <row r="232" spans="1:30" x14ac:dyDescent="0.3">
      <c r="A232">
        <v>1</v>
      </c>
      <c r="B232" s="68">
        <f>SUBTOTAL(9,$A$189:A232)</f>
        <v>42</v>
      </c>
      <c r="C232" s="73" t="s">
        <v>126</v>
      </c>
      <c r="D232" s="79" t="s">
        <v>153</v>
      </c>
      <c r="E232" s="65">
        <f t="shared" si="67"/>
        <v>9695624.4000000004</v>
      </c>
      <c r="F232" s="77">
        <v>0</v>
      </c>
      <c r="G232" s="77">
        <v>0</v>
      </c>
      <c r="H232" s="77">
        <v>0</v>
      </c>
      <c r="I232" s="77">
        <v>0</v>
      </c>
      <c r="J232" s="77">
        <v>0</v>
      </c>
      <c r="K232" s="77">
        <v>0</v>
      </c>
      <c r="L232" s="155">
        <v>0</v>
      </c>
      <c r="M232" s="77">
        <v>0</v>
      </c>
      <c r="N232" s="72">
        <v>540</v>
      </c>
      <c r="O232" s="72">
        <v>9355294.9800000004</v>
      </c>
      <c r="P232" s="77">
        <v>0</v>
      </c>
      <c r="Q232" s="77">
        <v>0</v>
      </c>
      <c r="R232" s="77">
        <v>0</v>
      </c>
      <c r="S232" s="77">
        <v>0</v>
      </c>
      <c r="T232" s="77">
        <v>0</v>
      </c>
      <c r="U232" s="77">
        <v>0</v>
      </c>
      <c r="V232" s="77">
        <v>0</v>
      </c>
      <c r="W232" s="77">
        <v>0</v>
      </c>
      <c r="X232" s="77">
        <v>0</v>
      </c>
      <c r="Y232" s="77">
        <v>200000</v>
      </c>
      <c r="Z232" s="77">
        <f t="shared" si="68"/>
        <v>140329.42000000001</v>
      </c>
      <c r="AA232" s="77">
        <v>0</v>
      </c>
      <c r="AB232" s="70">
        <v>2027</v>
      </c>
      <c r="AC232" s="70">
        <v>2027</v>
      </c>
      <c r="AD232" s="70">
        <v>2027</v>
      </c>
    </row>
    <row r="233" spans="1:30" x14ac:dyDescent="0.3">
      <c r="A233">
        <v>1</v>
      </c>
      <c r="B233" s="68">
        <f>SUBTOTAL(9,$A$189:A233)</f>
        <v>43</v>
      </c>
      <c r="C233" s="73" t="s">
        <v>127</v>
      </c>
      <c r="D233" s="79" t="s">
        <v>153</v>
      </c>
      <c r="E233" s="65">
        <f t="shared" si="67"/>
        <v>11957936.76</v>
      </c>
      <c r="F233" s="77">
        <v>0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155">
        <v>0</v>
      </c>
      <c r="M233" s="77">
        <v>0</v>
      </c>
      <c r="N233" s="72">
        <v>666</v>
      </c>
      <c r="O233" s="72">
        <v>11584174.15</v>
      </c>
      <c r="P233" s="77">
        <v>0</v>
      </c>
      <c r="Q233" s="77">
        <v>0</v>
      </c>
      <c r="R233" s="77">
        <v>0</v>
      </c>
      <c r="S233" s="77">
        <v>0</v>
      </c>
      <c r="T233" s="77">
        <v>0</v>
      </c>
      <c r="U233" s="77">
        <v>0</v>
      </c>
      <c r="V233" s="77">
        <v>0</v>
      </c>
      <c r="W233" s="77">
        <v>0</v>
      </c>
      <c r="X233" s="77">
        <v>0</v>
      </c>
      <c r="Y233" s="77">
        <v>200000</v>
      </c>
      <c r="Z233" s="77">
        <f t="shared" si="68"/>
        <v>173762.61</v>
      </c>
      <c r="AA233" s="77">
        <v>0</v>
      </c>
      <c r="AB233" s="70">
        <v>2027</v>
      </c>
      <c r="AC233" s="70">
        <v>2027</v>
      </c>
      <c r="AD233" s="70">
        <v>2027</v>
      </c>
    </row>
    <row r="234" spans="1:30" x14ac:dyDescent="0.3">
      <c r="A234">
        <v>1</v>
      </c>
      <c r="B234" s="68">
        <f>SUBTOTAL(9,$A$189:A234)</f>
        <v>44</v>
      </c>
      <c r="C234" s="73" t="s">
        <v>128</v>
      </c>
      <c r="D234" s="79" t="s">
        <v>153</v>
      </c>
      <c r="E234" s="65">
        <f t="shared" si="67"/>
        <v>7515149.9199999999</v>
      </c>
      <c r="F234" s="77">
        <v>0</v>
      </c>
      <c r="G234" s="77">
        <v>0</v>
      </c>
      <c r="H234" s="77">
        <v>0</v>
      </c>
      <c r="I234" s="77">
        <v>0</v>
      </c>
      <c r="J234" s="77">
        <v>0</v>
      </c>
      <c r="K234" s="77">
        <v>0</v>
      </c>
      <c r="L234" s="155">
        <v>0</v>
      </c>
      <c r="M234" s="77">
        <v>0</v>
      </c>
      <c r="N234" s="72">
        <v>592</v>
      </c>
      <c r="O234" s="72">
        <v>7207044.2599999998</v>
      </c>
      <c r="P234" s="77">
        <v>0</v>
      </c>
      <c r="Q234" s="77">
        <v>0</v>
      </c>
      <c r="R234" s="77">
        <v>0</v>
      </c>
      <c r="S234" s="77">
        <v>0</v>
      </c>
      <c r="T234" s="77">
        <v>0</v>
      </c>
      <c r="U234" s="77">
        <v>0</v>
      </c>
      <c r="V234" s="77">
        <v>0</v>
      </c>
      <c r="W234" s="77">
        <v>0</v>
      </c>
      <c r="X234" s="77">
        <v>0</v>
      </c>
      <c r="Y234" s="77">
        <v>200000</v>
      </c>
      <c r="Z234" s="77">
        <f t="shared" si="68"/>
        <v>108105.66</v>
      </c>
      <c r="AA234" s="77">
        <v>0</v>
      </c>
      <c r="AB234" s="70">
        <v>2027</v>
      </c>
      <c r="AC234" s="70">
        <v>2027</v>
      </c>
      <c r="AD234" s="70">
        <v>2027</v>
      </c>
    </row>
    <row r="235" spans="1:30" x14ac:dyDescent="0.3">
      <c r="A235">
        <v>1</v>
      </c>
      <c r="B235" s="68">
        <f>SUBTOTAL(9,$A$189:A235)</f>
        <v>45</v>
      </c>
      <c r="C235" s="73" t="s">
        <v>129</v>
      </c>
      <c r="D235" s="79" t="s">
        <v>153</v>
      </c>
      <c r="E235" s="65">
        <f t="shared" si="67"/>
        <v>16274361.82</v>
      </c>
      <c r="F235" s="77">
        <v>0</v>
      </c>
      <c r="G235" s="77">
        <v>0</v>
      </c>
      <c r="H235" s="77">
        <v>0</v>
      </c>
      <c r="I235" s="77">
        <v>0</v>
      </c>
      <c r="J235" s="77">
        <v>0</v>
      </c>
      <c r="K235" s="77">
        <v>0</v>
      </c>
      <c r="L235" s="155">
        <v>0</v>
      </c>
      <c r="M235" s="77">
        <v>0</v>
      </c>
      <c r="N235" s="72">
        <v>1282</v>
      </c>
      <c r="O235" s="72">
        <v>15836809.67</v>
      </c>
      <c r="P235" s="77">
        <v>0</v>
      </c>
      <c r="Q235" s="77">
        <v>0</v>
      </c>
      <c r="R235" s="77">
        <v>0</v>
      </c>
      <c r="S235" s="77">
        <v>0</v>
      </c>
      <c r="T235" s="77">
        <v>0</v>
      </c>
      <c r="U235" s="77">
        <v>0</v>
      </c>
      <c r="V235" s="77">
        <v>0</v>
      </c>
      <c r="W235" s="77">
        <v>0</v>
      </c>
      <c r="X235" s="77">
        <v>0</v>
      </c>
      <c r="Y235" s="77">
        <v>200000</v>
      </c>
      <c r="Z235" s="77">
        <f t="shared" si="68"/>
        <v>237552.15</v>
      </c>
      <c r="AA235" s="77">
        <v>0</v>
      </c>
      <c r="AB235" s="70">
        <v>2027</v>
      </c>
      <c r="AC235" s="70">
        <v>2027</v>
      </c>
      <c r="AD235" s="70">
        <v>2027</v>
      </c>
    </row>
    <row r="236" spans="1:30" x14ac:dyDescent="0.3">
      <c r="A236">
        <v>1</v>
      </c>
      <c r="B236" s="68">
        <f>SUBTOTAL(9,$A$189:A236)</f>
        <v>46</v>
      </c>
      <c r="C236" s="73" t="s">
        <v>130</v>
      </c>
      <c r="D236" s="79" t="s">
        <v>153</v>
      </c>
      <c r="E236" s="65">
        <f t="shared" si="67"/>
        <v>8366570.71</v>
      </c>
      <c r="F236" s="77">
        <v>0</v>
      </c>
      <c r="G236" s="77">
        <v>0</v>
      </c>
      <c r="H236" s="77">
        <v>0</v>
      </c>
      <c r="I236" s="77">
        <v>0</v>
      </c>
      <c r="J236" s="77">
        <v>0</v>
      </c>
      <c r="K236" s="77">
        <v>0</v>
      </c>
      <c r="L236" s="155">
        <v>0</v>
      </c>
      <c r="M236" s="77">
        <v>0</v>
      </c>
      <c r="N236" s="72">
        <v>659.07</v>
      </c>
      <c r="O236" s="72">
        <v>8045882.4699999997</v>
      </c>
      <c r="P236" s="77">
        <v>0</v>
      </c>
      <c r="Q236" s="77">
        <v>0</v>
      </c>
      <c r="R236" s="77">
        <v>0</v>
      </c>
      <c r="S236" s="77">
        <v>0</v>
      </c>
      <c r="T236" s="77">
        <v>0</v>
      </c>
      <c r="U236" s="77">
        <v>0</v>
      </c>
      <c r="V236" s="77">
        <v>0</v>
      </c>
      <c r="W236" s="77">
        <v>0</v>
      </c>
      <c r="X236" s="77">
        <v>0</v>
      </c>
      <c r="Y236" s="77">
        <v>200000</v>
      </c>
      <c r="Z236" s="77">
        <f t="shared" si="68"/>
        <v>120688.24</v>
      </c>
      <c r="AA236" s="77">
        <v>0</v>
      </c>
      <c r="AB236" s="70">
        <v>2027</v>
      </c>
      <c r="AC236" s="70">
        <v>2027</v>
      </c>
      <c r="AD236" s="70">
        <v>2027</v>
      </c>
    </row>
    <row r="237" spans="1:30" x14ac:dyDescent="0.3">
      <c r="A237">
        <v>1</v>
      </c>
      <c r="B237" s="68">
        <f>SUBTOTAL(9,$A$189:A237)</f>
        <v>47</v>
      </c>
      <c r="C237" s="73" t="s">
        <v>131</v>
      </c>
      <c r="D237" s="79" t="s">
        <v>153</v>
      </c>
      <c r="E237" s="65">
        <f t="shared" si="67"/>
        <v>11760433.300000001</v>
      </c>
      <c r="F237" s="77">
        <v>0</v>
      </c>
      <c r="G237" s="77">
        <v>0</v>
      </c>
      <c r="H237" s="77">
        <v>0</v>
      </c>
      <c r="I237" s="77">
        <v>0</v>
      </c>
      <c r="J237" s="77">
        <v>0</v>
      </c>
      <c r="K237" s="77">
        <v>0</v>
      </c>
      <c r="L237" s="155">
        <v>0</v>
      </c>
      <c r="M237" s="77">
        <v>0</v>
      </c>
      <c r="N237" s="72">
        <v>655.20000000000005</v>
      </c>
      <c r="O237" s="72">
        <v>11389589.460000001</v>
      </c>
      <c r="P237" s="77">
        <v>0</v>
      </c>
      <c r="Q237" s="77">
        <v>0</v>
      </c>
      <c r="R237" s="77">
        <v>0</v>
      </c>
      <c r="S237" s="77">
        <v>0</v>
      </c>
      <c r="T237" s="77">
        <v>0</v>
      </c>
      <c r="U237" s="77">
        <v>0</v>
      </c>
      <c r="V237" s="77">
        <v>0</v>
      </c>
      <c r="W237" s="77">
        <v>0</v>
      </c>
      <c r="X237" s="77">
        <v>0</v>
      </c>
      <c r="Y237" s="77">
        <v>200000</v>
      </c>
      <c r="Z237" s="77">
        <f t="shared" si="68"/>
        <v>170843.84</v>
      </c>
      <c r="AA237" s="77">
        <v>0</v>
      </c>
      <c r="AB237" s="70">
        <v>2027</v>
      </c>
      <c r="AC237" s="70">
        <v>2027</v>
      </c>
      <c r="AD237" s="70">
        <v>2027</v>
      </c>
    </row>
    <row r="238" spans="1:30" x14ac:dyDescent="0.3">
      <c r="A238">
        <v>1</v>
      </c>
      <c r="B238" s="68">
        <f>SUBTOTAL(9,$A$189:A238)</f>
        <v>48</v>
      </c>
      <c r="C238" s="73" t="s">
        <v>132</v>
      </c>
      <c r="D238" s="79" t="s">
        <v>153</v>
      </c>
      <c r="E238" s="65">
        <f t="shared" si="67"/>
        <v>11649068.350000001</v>
      </c>
      <c r="F238" s="77">
        <v>0</v>
      </c>
      <c r="G238" s="77">
        <v>0</v>
      </c>
      <c r="H238" s="77">
        <v>0</v>
      </c>
      <c r="I238" s="77">
        <v>0</v>
      </c>
      <c r="J238" s="77">
        <v>0</v>
      </c>
      <c r="K238" s="77">
        <v>0</v>
      </c>
      <c r="L238" s="155">
        <v>0</v>
      </c>
      <c r="M238" s="77">
        <v>0</v>
      </c>
      <c r="N238" s="72">
        <v>900.7</v>
      </c>
      <c r="O238" s="72">
        <v>11279870.300000001</v>
      </c>
      <c r="P238" s="77">
        <v>0</v>
      </c>
      <c r="Q238" s="77">
        <v>0</v>
      </c>
      <c r="R238" s="77">
        <v>0</v>
      </c>
      <c r="S238" s="77">
        <v>0</v>
      </c>
      <c r="T238" s="77">
        <v>0</v>
      </c>
      <c r="U238" s="77">
        <v>0</v>
      </c>
      <c r="V238" s="77">
        <v>0</v>
      </c>
      <c r="W238" s="77">
        <v>0</v>
      </c>
      <c r="X238" s="77">
        <v>0</v>
      </c>
      <c r="Y238" s="77">
        <v>200000</v>
      </c>
      <c r="Z238" s="77">
        <f t="shared" si="68"/>
        <v>169198.05</v>
      </c>
      <c r="AA238" s="77">
        <v>0</v>
      </c>
      <c r="AB238" s="70">
        <v>2027</v>
      </c>
      <c r="AC238" s="70">
        <v>2027</v>
      </c>
      <c r="AD238" s="70">
        <v>2027</v>
      </c>
    </row>
    <row r="239" spans="1:30" x14ac:dyDescent="0.3">
      <c r="A239">
        <v>1</v>
      </c>
      <c r="B239" s="68">
        <f>SUBTOTAL(9,$A$189:A239)</f>
        <v>49</v>
      </c>
      <c r="C239" s="73" t="s">
        <v>133</v>
      </c>
      <c r="D239" s="79" t="s">
        <v>153</v>
      </c>
      <c r="E239" s="65">
        <f t="shared" si="67"/>
        <v>10891889.600000001</v>
      </c>
      <c r="F239" s="77">
        <v>0</v>
      </c>
      <c r="G239" s="77">
        <v>0</v>
      </c>
      <c r="H239" s="77">
        <v>0</v>
      </c>
      <c r="I239" s="77">
        <v>0</v>
      </c>
      <c r="J239" s="77">
        <v>0</v>
      </c>
      <c r="K239" s="77">
        <v>0</v>
      </c>
      <c r="L239" s="155">
        <v>0</v>
      </c>
      <c r="M239" s="77">
        <v>0</v>
      </c>
      <c r="N239" s="72">
        <v>858</v>
      </c>
      <c r="O239" s="72">
        <v>10533881.380000001</v>
      </c>
      <c r="P239" s="77">
        <v>0</v>
      </c>
      <c r="Q239" s="77">
        <v>0</v>
      </c>
      <c r="R239" s="77">
        <v>0</v>
      </c>
      <c r="S239" s="77">
        <v>0</v>
      </c>
      <c r="T239" s="77">
        <v>0</v>
      </c>
      <c r="U239" s="77">
        <v>0</v>
      </c>
      <c r="V239" s="77">
        <v>0</v>
      </c>
      <c r="W239" s="77">
        <v>0</v>
      </c>
      <c r="X239" s="77">
        <v>0</v>
      </c>
      <c r="Y239" s="77">
        <v>200000</v>
      </c>
      <c r="Z239" s="77">
        <f t="shared" si="68"/>
        <v>158008.22</v>
      </c>
      <c r="AA239" s="77">
        <v>0</v>
      </c>
      <c r="AB239" s="70">
        <v>2027</v>
      </c>
      <c r="AC239" s="70">
        <v>2027</v>
      </c>
      <c r="AD239" s="70">
        <v>2027</v>
      </c>
    </row>
    <row r="240" spans="1:30" x14ac:dyDescent="0.3">
      <c r="A240">
        <v>1</v>
      </c>
      <c r="B240" s="68">
        <f>SUBTOTAL(9,$A$189:A240)</f>
        <v>50</v>
      </c>
      <c r="C240" s="73" t="s">
        <v>134</v>
      </c>
      <c r="D240" s="79" t="s">
        <v>153</v>
      </c>
      <c r="E240" s="65">
        <f t="shared" si="67"/>
        <v>11937482.050000001</v>
      </c>
      <c r="F240" s="77">
        <v>0</v>
      </c>
      <c r="G240" s="77">
        <v>0</v>
      </c>
      <c r="H240" s="77">
        <v>0</v>
      </c>
      <c r="I240" s="77">
        <v>0</v>
      </c>
      <c r="J240" s="77">
        <v>0</v>
      </c>
      <c r="K240" s="77">
        <v>0</v>
      </c>
      <c r="L240" s="155">
        <v>0</v>
      </c>
      <c r="M240" s="77">
        <v>0</v>
      </c>
      <c r="N240" s="72">
        <v>923</v>
      </c>
      <c r="O240" s="72">
        <v>11564021.720000001</v>
      </c>
      <c r="P240" s="77">
        <v>0</v>
      </c>
      <c r="Q240" s="77">
        <v>0</v>
      </c>
      <c r="R240" s="77">
        <v>0</v>
      </c>
      <c r="S240" s="77">
        <v>0</v>
      </c>
      <c r="T240" s="77">
        <v>0</v>
      </c>
      <c r="U240" s="77">
        <v>0</v>
      </c>
      <c r="V240" s="77">
        <v>0</v>
      </c>
      <c r="W240" s="77">
        <v>0</v>
      </c>
      <c r="X240" s="77">
        <v>0</v>
      </c>
      <c r="Y240" s="77">
        <v>200000</v>
      </c>
      <c r="Z240" s="77">
        <f t="shared" si="68"/>
        <v>173460.33</v>
      </c>
      <c r="AA240" s="77">
        <v>0</v>
      </c>
      <c r="AB240" s="70">
        <v>2027</v>
      </c>
      <c r="AC240" s="70">
        <v>2027</v>
      </c>
      <c r="AD240" s="70">
        <v>2027</v>
      </c>
    </row>
    <row r="241" spans="1:30" x14ac:dyDescent="0.3">
      <c r="A241">
        <v>1</v>
      </c>
      <c r="B241" s="68">
        <f>SUBTOTAL(9,$A$189:A241)</f>
        <v>51</v>
      </c>
      <c r="C241" s="73" t="s">
        <v>135</v>
      </c>
      <c r="D241" s="79" t="s">
        <v>153</v>
      </c>
      <c r="E241" s="65">
        <f t="shared" si="67"/>
        <v>21443494.300000001</v>
      </c>
      <c r="F241" s="77">
        <v>0</v>
      </c>
      <c r="G241" s="77">
        <v>0</v>
      </c>
      <c r="H241" s="77">
        <v>0</v>
      </c>
      <c r="I241" s="77">
        <v>0</v>
      </c>
      <c r="J241" s="77">
        <v>0</v>
      </c>
      <c r="K241" s="77">
        <v>0</v>
      </c>
      <c r="L241" s="155">
        <v>0</v>
      </c>
      <c r="M241" s="77">
        <v>0</v>
      </c>
      <c r="N241" s="72">
        <v>1658</v>
      </c>
      <c r="O241" s="72">
        <v>20880289.949999999</v>
      </c>
      <c r="P241" s="77">
        <v>0</v>
      </c>
      <c r="Q241" s="77">
        <v>0</v>
      </c>
      <c r="R241" s="77">
        <v>0</v>
      </c>
      <c r="S241" s="77">
        <v>0</v>
      </c>
      <c r="T241" s="77">
        <v>0</v>
      </c>
      <c r="U241" s="77">
        <v>0</v>
      </c>
      <c r="V241" s="77">
        <v>0</v>
      </c>
      <c r="W241" s="77">
        <v>0</v>
      </c>
      <c r="X241" s="77">
        <v>0</v>
      </c>
      <c r="Y241" s="77">
        <v>250000</v>
      </c>
      <c r="Z241" s="77">
        <f t="shared" si="68"/>
        <v>313204.34999999998</v>
      </c>
      <c r="AA241" s="77">
        <v>0</v>
      </c>
      <c r="AB241" s="70">
        <v>2027</v>
      </c>
      <c r="AC241" s="70">
        <v>2027</v>
      </c>
      <c r="AD241" s="70">
        <v>2027</v>
      </c>
    </row>
    <row r="242" spans="1:30" x14ac:dyDescent="0.3">
      <c r="A242">
        <v>1</v>
      </c>
      <c r="B242" s="68">
        <f>SUBTOTAL(9,$A$189:A242)</f>
        <v>52</v>
      </c>
      <c r="C242" s="73" t="s">
        <v>136</v>
      </c>
      <c r="D242" s="79" t="s">
        <v>153</v>
      </c>
      <c r="E242" s="65">
        <f t="shared" si="67"/>
        <v>14865271.210000001</v>
      </c>
      <c r="F242" s="77">
        <v>0</v>
      </c>
      <c r="G242" s="77">
        <v>0</v>
      </c>
      <c r="H242" s="77">
        <v>0</v>
      </c>
      <c r="I242" s="77">
        <v>0</v>
      </c>
      <c r="J242" s="77">
        <v>0</v>
      </c>
      <c r="K242" s="77">
        <v>0</v>
      </c>
      <c r="L242" s="155">
        <v>0</v>
      </c>
      <c r="M242" s="77">
        <v>0</v>
      </c>
      <c r="N242" s="72">
        <v>1171</v>
      </c>
      <c r="O242" s="72">
        <v>14448543.060000001</v>
      </c>
      <c r="P242" s="77">
        <v>0</v>
      </c>
      <c r="Q242" s="77">
        <v>0</v>
      </c>
      <c r="R242" s="77">
        <v>0</v>
      </c>
      <c r="S242" s="77">
        <v>0</v>
      </c>
      <c r="T242" s="77">
        <v>0</v>
      </c>
      <c r="U242" s="77">
        <v>0</v>
      </c>
      <c r="V242" s="77">
        <v>0</v>
      </c>
      <c r="W242" s="77">
        <v>0</v>
      </c>
      <c r="X242" s="77">
        <v>0</v>
      </c>
      <c r="Y242" s="77">
        <v>200000</v>
      </c>
      <c r="Z242" s="77">
        <f t="shared" si="68"/>
        <v>216728.15</v>
      </c>
      <c r="AA242" s="77">
        <v>0</v>
      </c>
      <c r="AB242" s="70">
        <v>2027</v>
      </c>
      <c r="AC242" s="70">
        <v>2027</v>
      </c>
      <c r="AD242" s="70">
        <v>2027</v>
      </c>
    </row>
    <row r="243" spans="1:30" x14ac:dyDescent="0.3">
      <c r="A243">
        <v>1</v>
      </c>
      <c r="B243" s="68">
        <f>SUBTOTAL(9,$A$189:A243)</f>
        <v>53</v>
      </c>
      <c r="C243" s="73" t="s">
        <v>137</v>
      </c>
      <c r="D243" s="79" t="s">
        <v>153</v>
      </c>
      <c r="E243" s="65">
        <f t="shared" si="67"/>
        <v>9210843.1799999997</v>
      </c>
      <c r="F243" s="77">
        <v>0</v>
      </c>
      <c r="G243" s="77">
        <v>0</v>
      </c>
      <c r="H243" s="77">
        <v>0</v>
      </c>
      <c r="I243" s="77">
        <v>0</v>
      </c>
      <c r="J243" s="77">
        <v>0</v>
      </c>
      <c r="K243" s="77">
        <v>0</v>
      </c>
      <c r="L243" s="155">
        <v>0</v>
      </c>
      <c r="M243" s="77">
        <v>0</v>
      </c>
      <c r="N243" s="72">
        <v>513</v>
      </c>
      <c r="O243" s="72">
        <v>8877678.0099999998</v>
      </c>
      <c r="P243" s="77">
        <v>0</v>
      </c>
      <c r="Q243" s="77">
        <v>0</v>
      </c>
      <c r="R243" s="77">
        <v>0</v>
      </c>
      <c r="S243" s="77">
        <v>0</v>
      </c>
      <c r="T243" s="77">
        <v>0</v>
      </c>
      <c r="U243" s="77">
        <v>0</v>
      </c>
      <c r="V243" s="77">
        <v>0</v>
      </c>
      <c r="W243" s="77">
        <v>0</v>
      </c>
      <c r="X243" s="77">
        <v>0</v>
      </c>
      <c r="Y243" s="77">
        <v>200000</v>
      </c>
      <c r="Z243" s="77">
        <f t="shared" si="68"/>
        <v>133165.17000000001</v>
      </c>
      <c r="AA243" s="77">
        <v>0</v>
      </c>
      <c r="AB243" s="70">
        <v>2027</v>
      </c>
      <c r="AC243" s="70">
        <v>2027</v>
      </c>
      <c r="AD243" s="70">
        <v>2027</v>
      </c>
    </row>
    <row r="244" spans="1:30" x14ac:dyDescent="0.3">
      <c r="A244">
        <v>1</v>
      </c>
      <c r="B244" s="68">
        <f>SUBTOTAL(9,$A$189:A244)</f>
        <v>54</v>
      </c>
      <c r="C244" s="73" t="s">
        <v>138</v>
      </c>
      <c r="D244" s="79" t="s">
        <v>153</v>
      </c>
      <c r="E244" s="65">
        <f t="shared" si="67"/>
        <v>8251431.5</v>
      </c>
      <c r="F244" s="77">
        <v>0</v>
      </c>
      <c r="G244" s="77">
        <v>0</v>
      </c>
      <c r="H244" s="77">
        <v>0</v>
      </c>
      <c r="I244" s="77">
        <v>0</v>
      </c>
      <c r="J244" s="77">
        <v>0</v>
      </c>
      <c r="K244" s="77">
        <v>0</v>
      </c>
      <c r="L244" s="155">
        <v>0</v>
      </c>
      <c r="M244" s="77">
        <v>0</v>
      </c>
      <c r="N244" s="72">
        <v>650</v>
      </c>
      <c r="O244" s="72">
        <v>7932444.8300000001</v>
      </c>
      <c r="P244" s="77">
        <v>0</v>
      </c>
      <c r="Q244" s="77">
        <v>0</v>
      </c>
      <c r="R244" s="77">
        <v>0</v>
      </c>
      <c r="S244" s="77">
        <v>0</v>
      </c>
      <c r="T244" s="77">
        <v>0</v>
      </c>
      <c r="U244" s="77">
        <v>0</v>
      </c>
      <c r="V244" s="77">
        <v>0</v>
      </c>
      <c r="W244" s="77">
        <v>0</v>
      </c>
      <c r="X244" s="77">
        <v>0</v>
      </c>
      <c r="Y244" s="77">
        <v>200000</v>
      </c>
      <c r="Z244" s="77">
        <f t="shared" si="68"/>
        <v>118986.67</v>
      </c>
      <c r="AA244" s="77">
        <v>0</v>
      </c>
      <c r="AB244" s="70">
        <v>2027</v>
      </c>
      <c r="AC244" s="70">
        <v>2027</v>
      </c>
      <c r="AD244" s="70">
        <v>2027</v>
      </c>
    </row>
    <row r="245" spans="1:30" x14ac:dyDescent="0.3">
      <c r="A245">
        <v>1</v>
      </c>
      <c r="B245" s="68">
        <f>SUBTOTAL(9,$A$189:A245)</f>
        <v>55</v>
      </c>
      <c r="C245" s="73" t="s">
        <v>139</v>
      </c>
      <c r="D245" s="79" t="s">
        <v>153</v>
      </c>
      <c r="E245" s="65">
        <f t="shared" si="67"/>
        <v>6093364.7999999998</v>
      </c>
      <c r="F245" s="77">
        <v>0</v>
      </c>
      <c r="G245" s="77">
        <v>0</v>
      </c>
      <c r="H245" s="77">
        <v>0</v>
      </c>
      <c r="I245" s="77">
        <v>0</v>
      </c>
      <c r="J245" s="77">
        <v>0</v>
      </c>
      <c r="K245" s="77">
        <v>0</v>
      </c>
      <c r="L245" s="155">
        <v>0</v>
      </c>
      <c r="M245" s="77">
        <v>0</v>
      </c>
      <c r="N245" s="72">
        <v>480</v>
      </c>
      <c r="O245" s="72">
        <v>5806270.7400000002</v>
      </c>
      <c r="P245" s="77">
        <v>0</v>
      </c>
      <c r="Q245" s="77">
        <v>0</v>
      </c>
      <c r="R245" s="77">
        <v>0</v>
      </c>
      <c r="S245" s="77">
        <v>0</v>
      </c>
      <c r="T245" s="77">
        <v>0</v>
      </c>
      <c r="U245" s="77">
        <v>0</v>
      </c>
      <c r="V245" s="77">
        <v>0</v>
      </c>
      <c r="W245" s="77">
        <v>0</v>
      </c>
      <c r="X245" s="77">
        <v>0</v>
      </c>
      <c r="Y245" s="77">
        <v>200000</v>
      </c>
      <c r="Z245" s="77">
        <f t="shared" si="68"/>
        <v>87094.06</v>
      </c>
      <c r="AA245" s="77">
        <v>0</v>
      </c>
      <c r="AB245" s="70">
        <v>2027</v>
      </c>
      <c r="AC245" s="70">
        <v>2027</v>
      </c>
      <c r="AD245" s="70">
        <v>2027</v>
      </c>
    </row>
    <row r="246" spans="1:30" x14ac:dyDescent="0.3">
      <c r="A246">
        <v>1</v>
      </c>
      <c r="B246" s="68">
        <f>SUBTOTAL(9,$A$189:A246)</f>
        <v>56</v>
      </c>
      <c r="C246" s="73" t="s">
        <v>679</v>
      </c>
      <c r="D246" s="79" t="s">
        <v>153</v>
      </c>
      <c r="E246" s="65">
        <f t="shared" si="67"/>
        <v>16010106</v>
      </c>
      <c r="F246" s="77">
        <v>0</v>
      </c>
      <c r="G246" s="77">
        <v>0</v>
      </c>
      <c r="H246" s="77">
        <v>0</v>
      </c>
      <c r="I246" s="77">
        <v>0</v>
      </c>
      <c r="J246" s="77">
        <v>0</v>
      </c>
      <c r="K246" s="77">
        <v>0</v>
      </c>
      <c r="L246" s="155">
        <v>4</v>
      </c>
      <c r="M246" s="77">
        <v>15477936.949999999</v>
      </c>
      <c r="N246" s="72">
        <v>0</v>
      </c>
      <c r="O246" s="72">
        <v>0</v>
      </c>
      <c r="P246" s="77">
        <v>0</v>
      </c>
      <c r="Q246" s="77">
        <v>0</v>
      </c>
      <c r="R246" s="77">
        <v>0</v>
      </c>
      <c r="S246" s="77">
        <v>0</v>
      </c>
      <c r="T246" s="77">
        <v>0</v>
      </c>
      <c r="U246" s="77">
        <v>0</v>
      </c>
      <c r="V246" s="77">
        <v>0</v>
      </c>
      <c r="W246" s="77">
        <v>0</v>
      </c>
      <c r="X246" s="77">
        <v>0</v>
      </c>
      <c r="Y246" s="77">
        <v>300000</v>
      </c>
      <c r="Z246" s="77">
        <f>ROUND(M246*1.5%,2)</f>
        <v>232169.05</v>
      </c>
      <c r="AA246" s="77">
        <v>0</v>
      </c>
      <c r="AB246" s="70">
        <v>2027</v>
      </c>
      <c r="AC246" s="70">
        <v>2027</v>
      </c>
      <c r="AD246" s="70">
        <v>2027</v>
      </c>
    </row>
    <row r="247" spans="1:30" x14ac:dyDescent="0.3">
      <c r="A247">
        <v>1</v>
      </c>
      <c r="B247" s="68">
        <f>SUBTOTAL(9,$A$189:A247)</f>
        <v>57</v>
      </c>
      <c r="C247" s="73" t="s">
        <v>651</v>
      </c>
      <c r="D247" s="79" t="s">
        <v>153</v>
      </c>
      <c r="E247" s="65">
        <f t="shared" si="67"/>
        <v>28178440.5</v>
      </c>
      <c r="F247" s="77">
        <v>0</v>
      </c>
      <c r="G247" s="77">
        <v>0</v>
      </c>
      <c r="H247" s="77">
        <v>0</v>
      </c>
      <c r="I247" s="77">
        <v>0</v>
      </c>
      <c r="J247" s="77">
        <v>0</v>
      </c>
      <c r="K247" s="77">
        <v>0</v>
      </c>
      <c r="L247" s="155">
        <v>7</v>
      </c>
      <c r="M247" s="77">
        <v>27466443.84</v>
      </c>
      <c r="N247" s="72">
        <v>0</v>
      </c>
      <c r="O247" s="72">
        <v>0</v>
      </c>
      <c r="P247" s="77">
        <v>0</v>
      </c>
      <c r="Q247" s="77">
        <v>0</v>
      </c>
      <c r="R247" s="77">
        <v>0</v>
      </c>
      <c r="S247" s="77">
        <v>0</v>
      </c>
      <c r="T247" s="77">
        <v>0</v>
      </c>
      <c r="U247" s="77">
        <v>0</v>
      </c>
      <c r="V247" s="77">
        <v>0</v>
      </c>
      <c r="W247" s="77">
        <v>0</v>
      </c>
      <c r="X247" s="77">
        <v>0</v>
      </c>
      <c r="Y247" s="77">
        <v>300000</v>
      </c>
      <c r="Z247" s="77">
        <f>ROUND(M247*1.5%,2)</f>
        <v>411996.66</v>
      </c>
      <c r="AA247" s="77">
        <v>0</v>
      </c>
      <c r="AB247" s="70">
        <v>2027</v>
      </c>
      <c r="AC247" s="70">
        <v>2027</v>
      </c>
      <c r="AD247" s="70">
        <v>2027</v>
      </c>
    </row>
    <row r="248" spans="1:30" x14ac:dyDescent="0.3">
      <c r="B248" s="67" t="s">
        <v>472</v>
      </c>
      <c r="C248" s="67"/>
      <c r="D248" s="87"/>
      <c r="E248" s="72">
        <f>SUM(E249:E259)</f>
        <v>155116511.13</v>
      </c>
      <c r="F248" s="72">
        <f>SUM(F249:F259)</f>
        <v>0</v>
      </c>
      <c r="G248" s="72">
        <f t="shared" ref="G248:AA248" si="69">SUM(G249:G259)</f>
        <v>0</v>
      </c>
      <c r="H248" s="72">
        <f t="shared" si="69"/>
        <v>0</v>
      </c>
      <c r="I248" s="72">
        <f t="shared" si="69"/>
        <v>0</v>
      </c>
      <c r="J248" s="72">
        <f t="shared" si="69"/>
        <v>0</v>
      </c>
      <c r="K248" s="72">
        <f t="shared" si="69"/>
        <v>0</v>
      </c>
      <c r="L248" s="156">
        <f t="shared" si="69"/>
        <v>3</v>
      </c>
      <c r="M248" s="72">
        <f t="shared" si="69"/>
        <v>12058960.1</v>
      </c>
      <c r="N248" s="72">
        <f t="shared" si="69"/>
        <v>8897</v>
      </c>
      <c r="O248" s="72">
        <f t="shared" si="69"/>
        <v>115179087.52000001</v>
      </c>
      <c r="P248" s="72">
        <f t="shared" si="69"/>
        <v>0</v>
      </c>
      <c r="Q248" s="72">
        <f t="shared" si="69"/>
        <v>0</v>
      </c>
      <c r="R248" s="72">
        <f t="shared" si="69"/>
        <v>2080</v>
      </c>
      <c r="S248" s="72">
        <f t="shared" si="69"/>
        <v>23320091.43</v>
      </c>
      <c r="T248" s="72">
        <f t="shared" si="69"/>
        <v>0</v>
      </c>
      <c r="U248" s="72">
        <f t="shared" si="69"/>
        <v>0</v>
      </c>
      <c r="V248" s="72">
        <f t="shared" si="69"/>
        <v>0</v>
      </c>
      <c r="W248" s="72">
        <f t="shared" si="69"/>
        <v>0</v>
      </c>
      <c r="X248" s="72">
        <f t="shared" si="69"/>
        <v>0</v>
      </c>
      <c r="Y248" s="72">
        <f t="shared" si="69"/>
        <v>2300000</v>
      </c>
      <c r="Z248" s="72">
        <f t="shared" si="69"/>
        <v>2258372.08</v>
      </c>
      <c r="AA248" s="72">
        <f t="shared" si="69"/>
        <v>0</v>
      </c>
      <c r="AB248" s="66" t="s">
        <v>423</v>
      </c>
      <c r="AC248" s="66" t="s">
        <v>423</v>
      </c>
      <c r="AD248" s="66" t="s">
        <v>423</v>
      </c>
    </row>
    <row r="249" spans="1:30" x14ac:dyDescent="0.3">
      <c r="A249">
        <v>1</v>
      </c>
      <c r="B249" s="68">
        <f>SUBTOTAL(9,$A$189:A249)</f>
        <v>58</v>
      </c>
      <c r="C249" s="73" t="s">
        <v>403</v>
      </c>
      <c r="D249" s="79" t="s">
        <v>473</v>
      </c>
      <c r="E249" s="65">
        <f t="shared" ref="E249:E258" si="70">F249+G249+H249+I249+J249+K249+M249+O249+Q249+S249+U249+V249+W249+X249+Z249+AA249+Y249</f>
        <v>23869892.800000001</v>
      </c>
      <c r="F249" s="77">
        <v>0</v>
      </c>
      <c r="G249" s="77">
        <v>0</v>
      </c>
      <c r="H249" s="77">
        <v>0</v>
      </c>
      <c r="I249" s="77">
        <v>0</v>
      </c>
      <c r="J249" s="77">
        <v>0</v>
      </c>
      <c r="K249" s="77">
        <v>0</v>
      </c>
      <c r="L249" s="154">
        <v>0</v>
      </c>
      <c r="M249" s="76">
        <v>0</v>
      </c>
      <c r="N249" s="72">
        <v>0</v>
      </c>
      <c r="O249" s="72">
        <v>0</v>
      </c>
      <c r="P249" s="76">
        <v>0</v>
      </c>
      <c r="Q249" s="76">
        <v>0</v>
      </c>
      <c r="R249" s="72">
        <v>2080</v>
      </c>
      <c r="S249" s="72">
        <v>23320091.43</v>
      </c>
      <c r="T249" s="77">
        <v>0</v>
      </c>
      <c r="U249" s="77">
        <v>0</v>
      </c>
      <c r="V249" s="77">
        <v>0</v>
      </c>
      <c r="W249" s="77">
        <v>0</v>
      </c>
      <c r="X249" s="77">
        <v>0</v>
      </c>
      <c r="Y249" s="77">
        <v>200000</v>
      </c>
      <c r="Z249" s="77">
        <f>ROUND(S249*1.5%,2)</f>
        <v>349801.37</v>
      </c>
      <c r="AA249" s="77">
        <v>0</v>
      </c>
      <c r="AB249" s="70">
        <v>2027</v>
      </c>
      <c r="AC249" s="70">
        <v>2027</v>
      </c>
      <c r="AD249" s="70">
        <v>2027</v>
      </c>
    </row>
    <row r="250" spans="1:30" x14ac:dyDescent="0.3">
      <c r="A250">
        <v>1</v>
      </c>
      <c r="B250" s="68">
        <f>SUBTOTAL(9,$A$189:A250)</f>
        <v>59</v>
      </c>
      <c r="C250" s="73" t="s">
        <v>395</v>
      </c>
      <c r="D250" s="79" t="s">
        <v>473</v>
      </c>
      <c r="E250" s="65">
        <f t="shared" si="70"/>
        <v>11412364.49</v>
      </c>
      <c r="F250" s="77">
        <v>0</v>
      </c>
      <c r="G250" s="77">
        <v>0</v>
      </c>
      <c r="H250" s="77">
        <v>0</v>
      </c>
      <c r="I250" s="77">
        <v>0</v>
      </c>
      <c r="J250" s="77">
        <v>0</v>
      </c>
      <c r="K250" s="77">
        <v>0</v>
      </c>
      <c r="L250" s="154">
        <v>0</v>
      </c>
      <c r="M250" s="76">
        <v>0</v>
      </c>
      <c r="N250" s="72">
        <v>899</v>
      </c>
      <c r="O250" s="72">
        <v>11046664.52</v>
      </c>
      <c r="P250" s="76">
        <v>0</v>
      </c>
      <c r="Q250" s="76">
        <v>0</v>
      </c>
      <c r="R250" s="72">
        <v>0</v>
      </c>
      <c r="S250" s="72">
        <v>0</v>
      </c>
      <c r="T250" s="77">
        <v>0</v>
      </c>
      <c r="U250" s="77">
        <v>0</v>
      </c>
      <c r="V250" s="77">
        <v>0</v>
      </c>
      <c r="W250" s="77">
        <v>0</v>
      </c>
      <c r="X250" s="77">
        <v>0</v>
      </c>
      <c r="Y250" s="77">
        <v>200000</v>
      </c>
      <c r="Z250" s="77">
        <f t="shared" ref="Z250:Z258" si="71">ROUND(O250*1.5%,2)</f>
        <v>165699.97</v>
      </c>
      <c r="AA250" s="77">
        <v>0</v>
      </c>
      <c r="AB250" s="70">
        <v>2027</v>
      </c>
      <c r="AC250" s="70">
        <v>2027</v>
      </c>
      <c r="AD250" s="70">
        <v>2027</v>
      </c>
    </row>
    <row r="251" spans="1:30" x14ac:dyDescent="0.3">
      <c r="A251">
        <v>1</v>
      </c>
      <c r="B251" s="68">
        <f>SUBTOTAL(9,$A$189:A251)</f>
        <v>60</v>
      </c>
      <c r="C251" s="73" t="s">
        <v>394</v>
      </c>
      <c r="D251" s="79" t="s">
        <v>473</v>
      </c>
      <c r="E251" s="65">
        <f t="shared" si="70"/>
        <v>14459046.890000001</v>
      </c>
      <c r="F251" s="77">
        <v>0</v>
      </c>
      <c r="G251" s="77">
        <v>0</v>
      </c>
      <c r="H251" s="77">
        <v>0</v>
      </c>
      <c r="I251" s="77">
        <v>0</v>
      </c>
      <c r="J251" s="77">
        <v>0</v>
      </c>
      <c r="K251" s="77">
        <v>0</v>
      </c>
      <c r="L251" s="154">
        <v>0</v>
      </c>
      <c r="M251" s="76">
        <v>0</v>
      </c>
      <c r="N251" s="72">
        <v>1139</v>
      </c>
      <c r="O251" s="72">
        <v>14048322.060000001</v>
      </c>
      <c r="P251" s="76">
        <v>0</v>
      </c>
      <c r="Q251" s="76">
        <v>0</v>
      </c>
      <c r="R251" s="76">
        <v>0</v>
      </c>
      <c r="S251" s="76">
        <v>0</v>
      </c>
      <c r="T251" s="77">
        <v>0</v>
      </c>
      <c r="U251" s="77">
        <v>0</v>
      </c>
      <c r="V251" s="77">
        <v>0</v>
      </c>
      <c r="W251" s="77">
        <v>0</v>
      </c>
      <c r="X251" s="77">
        <v>0</v>
      </c>
      <c r="Y251" s="77">
        <v>200000</v>
      </c>
      <c r="Z251" s="77">
        <f t="shared" si="71"/>
        <v>210724.83</v>
      </c>
      <c r="AA251" s="77">
        <v>0</v>
      </c>
      <c r="AB251" s="70">
        <v>2027</v>
      </c>
      <c r="AC251" s="70">
        <v>2027</v>
      </c>
      <c r="AD251" s="70">
        <v>2027</v>
      </c>
    </row>
    <row r="252" spans="1:30" x14ac:dyDescent="0.3">
      <c r="A252">
        <v>1</v>
      </c>
      <c r="B252" s="68">
        <f>SUBTOTAL(9,$A$189:A252)</f>
        <v>61</v>
      </c>
      <c r="C252" s="73" t="s">
        <v>399</v>
      </c>
      <c r="D252" s="79" t="s">
        <v>473</v>
      </c>
      <c r="E252" s="65">
        <f t="shared" si="70"/>
        <v>15804553.699999999</v>
      </c>
      <c r="F252" s="77">
        <v>0</v>
      </c>
      <c r="G252" s="77">
        <v>0</v>
      </c>
      <c r="H252" s="77">
        <v>0</v>
      </c>
      <c r="I252" s="77">
        <v>0</v>
      </c>
      <c r="J252" s="77">
        <v>0</v>
      </c>
      <c r="K252" s="77">
        <v>0</v>
      </c>
      <c r="L252" s="154">
        <v>0</v>
      </c>
      <c r="M252" s="76">
        <v>0</v>
      </c>
      <c r="N252" s="72">
        <v>1222</v>
      </c>
      <c r="O252" s="72">
        <v>15324683.449999999</v>
      </c>
      <c r="P252" s="76">
        <v>0</v>
      </c>
      <c r="Q252" s="76">
        <v>0</v>
      </c>
      <c r="R252" s="72">
        <v>0</v>
      </c>
      <c r="S252" s="72">
        <v>0</v>
      </c>
      <c r="T252" s="77">
        <v>0</v>
      </c>
      <c r="U252" s="77">
        <v>0</v>
      </c>
      <c r="V252" s="77">
        <v>0</v>
      </c>
      <c r="W252" s="77">
        <v>0</v>
      </c>
      <c r="X252" s="77">
        <v>0</v>
      </c>
      <c r="Y252" s="77">
        <v>250000</v>
      </c>
      <c r="Z252" s="77">
        <f t="shared" si="71"/>
        <v>229870.25</v>
      </c>
      <c r="AA252" s="77">
        <v>0</v>
      </c>
      <c r="AB252" s="70">
        <v>2027</v>
      </c>
      <c r="AC252" s="70">
        <v>2027</v>
      </c>
      <c r="AD252" s="70">
        <v>2027</v>
      </c>
    </row>
    <row r="253" spans="1:30" x14ac:dyDescent="0.3">
      <c r="A253">
        <v>1</v>
      </c>
      <c r="B253" s="68">
        <f>SUBTOTAL(9,$A$189:A253)</f>
        <v>62</v>
      </c>
      <c r="C253" s="73" t="s">
        <v>406</v>
      </c>
      <c r="D253" s="79" t="s">
        <v>473</v>
      </c>
      <c r="E253" s="65">
        <f t="shared" si="70"/>
        <v>15933887.199999999</v>
      </c>
      <c r="F253" s="77">
        <v>0</v>
      </c>
      <c r="G253" s="77">
        <v>0</v>
      </c>
      <c r="H253" s="77">
        <v>0</v>
      </c>
      <c r="I253" s="77">
        <v>0</v>
      </c>
      <c r="J253" s="77">
        <v>0</v>
      </c>
      <c r="K253" s="77">
        <v>0</v>
      </c>
      <c r="L253" s="154">
        <v>0</v>
      </c>
      <c r="M253" s="76">
        <v>0</v>
      </c>
      <c r="N253" s="72">
        <v>1232</v>
      </c>
      <c r="O253" s="72">
        <v>15501366.699999999</v>
      </c>
      <c r="P253" s="76">
        <v>0</v>
      </c>
      <c r="Q253" s="76">
        <v>0</v>
      </c>
      <c r="R253" s="72">
        <v>0</v>
      </c>
      <c r="S253" s="72">
        <v>0</v>
      </c>
      <c r="T253" s="77">
        <v>0</v>
      </c>
      <c r="U253" s="77">
        <v>0</v>
      </c>
      <c r="V253" s="77">
        <v>0</v>
      </c>
      <c r="W253" s="77">
        <v>0</v>
      </c>
      <c r="X253" s="77">
        <v>0</v>
      </c>
      <c r="Y253" s="77">
        <v>200000</v>
      </c>
      <c r="Z253" s="77">
        <f t="shared" si="71"/>
        <v>232520.5</v>
      </c>
      <c r="AA253" s="77">
        <v>0</v>
      </c>
      <c r="AB253" s="70">
        <v>2027</v>
      </c>
      <c r="AC253" s="70">
        <v>2027</v>
      </c>
      <c r="AD253" s="70">
        <v>2027</v>
      </c>
    </row>
    <row r="254" spans="1:30" x14ac:dyDescent="0.3">
      <c r="A254">
        <v>1</v>
      </c>
      <c r="B254" s="68">
        <f>SUBTOTAL(9,$A$189:A254)</f>
        <v>63</v>
      </c>
      <c r="C254" s="73" t="s">
        <v>411</v>
      </c>
      <c r="D254" s="79" t="s">
        <v>473</v>
      </c>
      <c r="E254" s="65">
        <f t="shared" si="70"/>
        <v>8276820.5199999996</v>
      </c>
      <c r="F254" s="77">
        <v>0</v>
      </c>
      <c r="G254" s="77">
        <v>0</v>
      </c>
      <c r="H254" s="77">
        <v>0</v>
      </c>
      <c r="I254" s="77">
        <v>0</v>
      </c>
      <c r="J254" s="77">
        <v>0</v>
      </c>
      <c r="K254" s="77">
        <v>0</v>
      </c>
      <c r="L254" s="154">
        <v>0</v>
      </c>
      <c r="M254" s="76">
        <v>0</v>
      </c>
      <c r="N254" s="72">
        <v>652</v>
      </c>
      <c r="O254" s="72">
        <v>7957458.6399999997</v>
      </c>
      <c r="P254" s="76">
        <v>0</v>
      </c>
      <c r="Q254" s="76">
        <v>0</v>
      </c>
      <c r="R254" s="72">
        <v>0</v>
      </c>
      <c r="S254" s="72">
        <v>0</v>
      </c>
      <c r="T254" s="77">
        <v>0</v>
      </c>
      <c r="U254" s="77">
        <v>0</v>
      </c>
      <c r="V254" s="77">
        <v>0</v>
      </c>
      <c r="W254" s="77">
        <v>0</v>
      </c>
      <c r="X254" s="77">
        <v>0</v>
      </c>
      <c r="Y254" s="77">
        <v>200000</v>
      </c>
      <c r="Z254" s="77">
        <f t="shared" si="71"/>
        <v>119361.88</v>
      </c>
      <c r="AA254" s="77">
        <v>0</v>
      </c>
      <c r="AB254" s="70">
        <v>2027</v>
      </c>
      <c r="AC254" s="70">
        <v>2027</v>
      </c>
      <c r="AD254" s="70">
        <v>2027</v>
      </c>
    </row>
    <row r="255" spans="1:30" x14ac:dyDescent="0.3">
      <c r="A255">
        <v>1</v>
      </c>
      <c r="B255" s="68">
        <f>SUBTOTAL(9,$A$189:A255)</f>
        <v>64</v>
      </c>
      <c r="C255" s="73" t="s">
        <v>384</v>
      </c>
      <c r="D255" s="79" t="s">
        <v>473</v>
      </c>
      <c r="E255" s="65">
        <f t="shared" si="70"/>
        <v>16075992.4</v>
      </c>
      <c r="F255" s="77">
        <v>0</v>
      </c>
      <c r="G255" s="77">
        <v>0</v>
      </c>
      <c r="H255" s="77">
        <v>0</v>
      </c>
      <c r="I255" s="77">
        <v>0</v>
      </c>
      <c r="J255" s="77">
        <v>0</v>
      </c>
      <c r="K255" s="77">
        <v>0</v>
      </c>
      <c r="L255" s="154">
        <v>0</v>
      </c>
      <c r="M255" s="76">
        <v>0</v>
      </c>
      <c r="N255" s="72">
        <v>1240</v>
      </c>
      <c r="O255" s="72">
        <v>15641371.82</v>
      </c>
      <c r="P255" s="76">
        <v>0</v>
      </c>
      <c r="Q255" s="76">
        <v>0</v>
      </c>
      <c r="R255" s="72">
        <v>0</v>
      </c>
      <c r="S255" s="72">
        <v>0</v>
      </c>
      <c r="T255" s="77">
        <v>0</v>
      </c>
      <c r="U255" s="77">
        <v>0</v>
      </c>
      <c r="V255" s="77">
        <v>0</v>
      </c>
      <c r="W255" s="77">
        <v>0</v>
      </c>
      <c r="X255" s="77">
        <v>0</v>
      </c>
      <c r="Y255" s="77">
        <v>200000</v>
      </c>
      <c r="Z255" s="77">
        <f t="shared" si="71"/>
        <v>234620.58</v>
      </c>
      <c r="AA255" s="77">
        <v>0</v>
      </c>
      <c r="AB255" s="70">
        <v>2027</v>
      </c>
      <c r="AC255" s="70">
        <v>2027</v>
      </c>
      <c r="AD255" s="70">
        <v>2027</v>
      </c>
    </row>
    <row r="256" spans="1:30" x14ac:dyDescent="0.3">
      <c r="A256">
        <v>1</v>
      </c>
      <c r="B256" s="68">
        <f>SUBTOTAL(9,$A$189:A256)</f>
        <v>65</v>
      </c>
      <c r="C256" s="73" t="s">
        <v>386</v>
      </c>
      <c r="D256" s="79" t="s">
        <v>473</v>
      </c>
      <c r="E256" s="65">
        <f t="shared" si="70"/>
        <v>16159374</v>
      </c>
      <c r="F256" s="77">
        <v>0</v>
      </c>
      <c r="G256" s="77">
        <v>0</v>
      </c>
      <c r="H256" s="77">
        <v>0</v>
      </c>
      <c r="I256" s="77">
        <v>0</v>
      </c>
      <c r="J256" s="77">
        <v>0</v>
      </c>
      <c r="K256" s="77">
        <v>0</v>
      </c>
      <c r="L256" s="154">
        <v>0</v>
      </c>
      <c r="M256" s="76">
        <v>0</v>
      </c>
      <c r="N256" s="72">
        <v>900</v>
      </c>
      <c r="O256" s="72">
        <v>15723521.18</v>
      </c>
      <c r="P256" s="76">
        <v>0</v>
      </c>
      <c r="Q256" s="76">
        <v>0</v>
      </c>
      <c r="R256" s="72">
        <v>0</v>
      </c>
      <c r="S256" s="72">
        <v>0</v>
      </c>
      <c r="T256" s="77">
        <v>0</v>
      </c>
      <c r="U256" s="77">
        <v>0</v>
      </c>
      <c r="V256" s="77">
        <v>0</v>
      </c>
      <c r="W256" s="77">
        <v>0</v>
      </c>
      <c r="X256" s="77">
        <v>0</v>
      </c>
      <c r="Y256" s="77">
        <v>200000</v>
      </c>
      <c r="Z256" s="77">
        <f t="shared" si="71"/>
        <v>235852.82</v>
      </c>
      <c r="AA256" s="77">
        <v>0</v>
      </c>
      <c r="AB256" s="70">
        <v>2027</v>
      </c>
      <c r="AC256" s="70">
        <v>2027</v>
      </c>
      <c r="AD256" s="70">
        <v>2027</v>
      </c>
    </row>
    <row r="257" spans="1:30" x14ac:dyDescent="0.3">
      <c r="A257">
        <v>1</v>
      </c>
      <c r="B257" s="68">
        <f>SUBTOTAL(9,$A$189:A257)</f>
        <v>66</v>
      </c>
      <c r="C257" s="73" t="s">
        <v>383</v>
      </c>
      <c r="D257" s="79" t="s">
        <v>473</v>
      </c>
      <c r="E257" s="65">
        <f t="shared" si="70"/>
        <v>13024567.26</v>
      </c>
      <c r="F257" s="77">
        <v>0</v>
      </c>
      <c r="G257" s="77">
        <v>0</v>
      </c>
      <c r="H257" s="77">
        <v>0</v>
      </c>
      <c r="I257" s="77">
        <v>0</v>
      </c>
      <c r="J257" s="77">
        <v>0</v>
      </c>
      <c r="K257" s="77">
        <v>0</v>
      </c>
      <c r="L257" s="156">
        <v>0</v>
      </c>
      <c r="M257" s="72">
        <v>0</v>
      </c>
      <c r="N257" s="72">
        <v>1026</v>
      </c>
      <c r="O257" s="72">
        <v>12635041.640000001</v>
      </c>
      <c r="P257" s="72">
        <v>0</v>
      </c>
      <c r="Q257" s="72">
        <v>0</v>
      </c>
      <c r="R257" s="72">
        <v>0</v>
      </c>
      <c r="S257" s="72">
        <v>0</v>
      </c>
      <c r="T257" s="77">
        <v>0</v>
      </c>
      <c r="U257" s="77">
        <v>0</v>
      </c>
      <c r="V257" s="77">
        <v>0</v>
      </c>
      <c r="W257" s="77">
        <v>0</v>
      </c>
      <c r="X257" s="77">
        <v>0</v>
      </c>
      <c r="Y257" s="77">
        <v>200000</v>
      </c>
      <c r="Z257" s="77">
        <f t="shared" si="71"/>
        <v>189525.62</v>
      </c>
      <c r="AA257" s="77">
        <v>0</v>
      </c>
      <c r="AB257" s="70">
        <v>2027</v>
      </c>
      <c r="AC257" s="70">
        <v>2027</v>
      </c>
      <c r="AD257" s="70">
        <v>2027</v>
      </c>
    </row>
    <row r="258" spans="1:30" x14ac:dyDescent="0.3">
      <c r="A258">
        <v>1</v>
      </c>
      <c r="B258" s="68">
        <f>SUBTOTAL(9,$A$189:A258)</f>
        <v>67</v>
      </c>
      <c r="C258" s="73" t="s">
        <v>402</v>
      </c>
      <c r="D258" s="79" t="s">
        <v>473</v>
      </c>
      <c r="E258" s="65">
        <f t="shared" si="70"/>
        <v>7610167.3700000001</v>
      </c>
      <c r="F258" s="77">
        <v>0</v>
      </c>
      <c r="G258" s="77">
        <v>0</v>
      </c>
      <c r="H258" s="77">
        <v>0</v>
      </c>
      <c r="I258" s="77">
        <v>0</v>
      </c>
      <c r="J258" s="77">
        <v>0</v>
      </c>
      <c r="K258" s="77">
        <v>0</v>
      </c>
      <c r="L258" s="156">
        <v>0</v>
      </c>
      <c r="M258" s="72">
        <v>0</v>
      </c>
      <c r="N258" s="72">
        <v>587</v>
      </c>
      <c r="O258" s="72">
        <v>7300657.5099999998</v>
      </c>
      <c r="P258" s="72">
        <v>0</v>
      </c>
      <c r="Q258" s="72">
        <v>0</v>
      </c>
      <c r="R258" s="72">
        <v>0</v>
      </c>
      <c r="S258" s="72">
        <v>0</v>
      </c>
      <c r="T258" s="77">
        <v>0</v>
      </c>
      <c r="U258" s="77">
        <v>0</v>
      </c>
      <c r="V258" s="77">
        <v>0</v>
      </c>
      <c r="W258" s="77">
        <v>0</v>
      </c>
      <c r="X258" s="77">
        <v>0</v>
      </c>
      <c r="Y258" s="77">
        <v>200000</v>
      </c>
      <c r="Z258" s="77">
        <f t="shared" si="71"/>
        <v>109509.86</v>
      </c>
      <c r="AA258" s="77">
        <v>0</v>
      </c>
      <c r="AB258" s="70">
        <v>2027</v>
      </c>
      <c r="AC258" s="70">
        <v>2027</v>
      </c>
      <c r="AD258" s="70">
        <v>2027</v>
      </c>
    </row>
    <row r="259" spans="1:30" x14ac:dyDescent="0.3">
      <c r="A259">
        <v>1</v>
      </c>
      <c r="B259" s="68">
        <f>SUBTOTAL(9,$A$189:A259)</f>
        <v>68</v>
      </c>
      <c r="C259" s="73" t="s">
        <v>404</v>
      </c>
      <c r="D259" s="79" t="s">
        <v>473</v>
      </c>
      <c r="E259" s="65">
        <f>F259+G259+H259+I259+J259+K259+M259+O259+Q259+S259+U259+V259+W259+X259+Z259+AA259+Y259</f>
        <v>12489844.5</v>
      </c>
      <c r="F259" s="77">
        <v>0</v>
      </c>
      <c r="G259" s="77">
        <v>0</v>
      </c>
      <c r="H259" s="77">
        <v>0</v>
      </c>
      <c r="I259" s="77">
        <v>0</v>
      </c>
      <c r="J259" s="77">
        <v>0</v>
      </c>
      <c r="K259" s="77">
        <v>0</v>
      </c>
      <c r="L259" s="154">
        <v>3</v>
      </c>
      <c r="M259" s="72">
        <v>12058960.1</v>
      </c>
      <c r="N259" s="72">
        <v>0</v>
      </c>
      <c r="O259" s="72">
        <v>0</v>
      </c>
      <c r="P259" s="76">
        <v>0</v>
      </c>
      <c r="Q259" s="76">
        <v>0</v>
      </c>
      <c r="R259" s="76">
        <v>0</v>
      </c>
      <c r="S259" s="76">
        <v>0</v>
      </c>
      <c r="T259" s="77">
        <v>0</v>
      </c>
      <c r="U259" s="77">
        <v>0</v>
      </c>
      <c r="V259" s="77">
        <v>0</v>
      </c>
      <c r="W259" s="77">
        <v>0</v>
      </c>
      <c r="X259" s="77">
        <v>0</v>
      </c>
      <c r="Y259" s="77">
        <v>250000</v>
      </c>
      <c r="Z259" s="77">
        <f>ROUND(M259*1.5%,2)</f>
        <v>180884.4</v>
      </c>
      <c r="AA259" s="77">
        <v>0</v>
      </c>
      <c r="AB259" s="70">
        <v>2027</v>
      </c>
      <c r="AC259" s="70">
        <v>2027</v>
      </c>
      <c r="AD259" s="70">
        <v>2027</v>
      </c>
    </row>
    <row r="260" spans="1:30" x14ac:dyDescent="0.3">
      <c r="B260" s="62" t="s">
        <v>416</v>
      </c>
      <c r="C260" s="63"/>
      <c r="D260" s="64"/>
      <c r="E260" s="65">
        <f>E261+E262</f>
        <v>50610672.200000003</v>
      </c>
      <c r="F260" s="65">
        <f t="shared" ref="F260:AA260" si="72">F261+F262</f>
        <v>4896214.3</v>
      </c>
      <c r="G260" s="65">
        <f t="shared" si="72"/>
        <v>7806992.2000000002</v>
      </c>
      <c r="H260" s="65">
        <f t="shared" si="72"/>
        <v>2917405.06</v>
      </c>
      <c r="I260" s="65">
        <f t="shared" si="72"/>
        <v>6357522.6500000004</v>
      </c>
      <c r="J260" s="65">
        <f t="shared" si="72"/>
        <v>10984965.5</v>
      </c>
      <c r="K260" s="65">
        <f t="shared" si="72"/>
        <v>0</v>
      </c>
      <c r="L260" s="152">
        <f t="shared" si="72"/>
        <v>4</v>
      </c>
      <c r="M260" s="65">
        <f t="shared" si="72"/>
        <v>16160715.27</v>
      </c>
      <c r="N260" s="65">
        <f t="shared" si="72"/>
        <v>0</v>
      </c>
      <c r="O260" s="65">
        <f t="shared" si="72"/>
        <v>0</v>
      </c>
      <c r="P260" s="65">
        <f t="shared" si="72"/>
        <v>0</v>
      </c>
      <c r="Q260" s="65">
        <f t="shared" si="72"/>
        <v>0</v>
      </c>
      <c r="R260" s="65">
        <f t="shared" si="72"/>
        <v>0</v>
      </c>
      <c r="S260" s="65">
        <f t="shared" si="72"/>
        <v>0</v>
      </c>
      <c r="T260" s="65">
        <f t="shared" si="72"/>
        <v>0</v>
      </c>
      <c r="U260" s="65">
        <f t="shared" si="72"/>
        <v>0</v>
      </c>
      <c r="V260" s="65">
        <f t="shared" si="72"/>
        <v>0</v>
      </c>
      <c r="W260" s="65">
        <f t="shared" si="72"/>
        <v>0</v>
      </c>
      <c r="X260" s="65">
        <f t="shared" si="72"/>
        <v>0</v>
      </c>
      <c r="Y260" s="65">
        <f t="shared" si="72"/>
        <v>750000</v>
      </c>
      <c r="Z260" s="65">
        <f t="shared" si="72"/>
        <v>736857.22</v>
      </c>
      <c r="AA260" s="65">
        <f t="shared" si="72"/>
        <v>0</v>
      </c>
      <c r="AB260" s="66" t="s">
        <v>423</v>
      </c>
      <c r="AC260" s="66" t="s">
        <v>423</v>
      </c>
      <c r="AD260" s="66" t="s">
        <v>423</v>
      </c>
    </row>
    <row r="261" spans="1:30" x14ac:dyDescent="0.3">
      <c r="A261">
        <v>1</v>
      </c>
      <c r="B261" s="68">
        <f>SUBTOTAL(9,$A$189:A261)</f>
        <v>69</v>
      </c>
      <c r="C261" s="73" t="s">
        <v>155</v>
      </c>
      <c r="D261" s="79" t="s">
        <v>609</v>
      </c>
      <c r="E261" s="65">
        <f>F261+G261+H261+I261+J261+K261+M261+O261+Q261+S261+U261+V261+W261+X261+Y261+Z261+AA261</f>
        <v>33957546.200000003</v>
      </c>
      <c r="F261" s="65">
        <v>4896214.3</v>
      </c>
      <c r="G261" s="65">
        <v>7806992.2000000002</v>
      </c>
      <c r="H261" s="65">
        <v>2917405.06</v>
      </c>
      <c r="I261" s="65">
        <v>6357522.6500000004</v>
      </c>
      <c r="J261" s="65">
        <v>10984965.5</v>
      </c>
      <c r="K261" s="77">
        <v>0</v>
      </c>
      <c r="L261" s="155">
        <v>0</v>
      </c>
      <c r="M261" s="77">
        <v>0</v>
      </c>
      <c r="N261" s="77">
        <v>0</v>
      </c>
      <c r="O261" s="77">
        <v>0</v>
      </c>
      <c r="P261" s="77">
        <v>0</v>
      </c>
      <c r="Q261" s="77">
        <v>0</v>
      </c>
      <c r="R261" s="77">
        <v>0</v>
      </c>
      <c r="S261" s="77">
        <v>0</v>
      </c>
      <c r="T261" s="77">
        <v>0</v>
      </c>
      <c r="U261" s="77">
        <v>0</v>
      </c>
      <c r="V261" s="77">
        <v>0</v>
      </c>
      <c r="W261" s="77">
        <v>0</v>
      </c>
      <c r="X261" s="77">
        <v>0</v>
      </c>
      <c r="Y261" s="77">
        <v>500000</v>
      </c>
      <c r="Z261" s="77">
        <f>ROUND(F261*1.5%,2)+ROUND(G261*1.5%,2)+ROUND(H261*1.5%,2)+ROUND(I261*1.5%,2)+ROUND(J261*1.5%,2)</f>
        <v>494446.49</v>
      </c>
      <c r="AA261" s="77">
        <v>0</v>
      </c>
      <c r="AB261" s="70">
        <v>2027</v>
      </c>
      <c r="AC261" s="70">
        <v>2027</v>
      </c>
      <c r="AD261" s="70">
        <v>2027</v>
      </c>
    </row>
    <row r="262" spans="1:30" x14ac:dyDescent="0.3">
      <c r="A262">
        <v>1</v>
      </c>
      <c r="B262" s="68">
        <f>SUBTOTAL(9,$A$189:A262)</f>
        <v>70</v>
      </c>
      <c r="C262" s="73" t="s">
        <v>156</v>
      </c>
      <c r="D262" s="79" t="s">
        <v>609</v>
      </c>
      <c r="E262" s="65">
        <f t="shared" ref="E262" si="73">F262+G262+H262+I262+J262+K262+M262+O262+Q262+S262+U262+V262+W262+X262+Y262+Z262+AA262</f>
        <v>16653126</v>
      </c>
      <c r="F262" s="77">
        <v>0</v>
      </c>
      <c r="G262" s="77">
        <v>0</v>
      </c>
      <c r="H262" s="77">
        <v>0</v>
      </c>
      <c r="I262" s="77">
        <v>0</v>
      </c>
      <c r="J262" s="77">
        <v>0</v>
      </c>
      <c r="K262" s="77">
        <v>0</v>
      </c>
      <c r="L262" s="155">
        <v>4</v>
      </c>
      <c r="M262" s="77">
        <v>16160715.27</v>
      </c>
      <c r="N262" s="77">
        <v>0</v>
      </c>
      <c r="O262" s="77">
        <v>0</v>
      </c>
      <c r="P262" s="77">
        <v>0</v>
      </c>
      <c r="Q262" s="77">
        <v>0</v>
      </c>
      <c r="R262" s="77">
        <v>0</v>
      </c>
      <c r="S262" s="77">
        <v>0</v>
      </c>
      <c r="T262" s="77">
        <v>0</v>
      </c>
      <c r="U262" s="77">
        <v>0</v>
      </c>
      <c r="V262" s="77">
        <v>0</v>
      </c>
      <c r="W262" s="77">
        <v>0</v>
      </c>
      <c r="X262" s="77">
        <v>0</v>
      </c>
      <c r="Y262" s="77">
        <v>250000</v>
      </c>
      <c r="Z262" s="77">
        <v>242410.73</v>
      </c>
      <c r="AA262" s="77">
        <v>0</v>
      </c>
      <c r="AB262" s="70">
        <v>2027</v>
      </c>
      <c r="AC262" s="70">
        <v>2027</v>
      </c>
      <c r="AD262" s="70">
        <v>2027</v>
      </c>
    </row>
    <row r="263" spans="1:30" x14ac:dyDescent="0.3">
      <c r="B263" s="67" t="s">
        <v>678</v>
      </c>
      <c r="C263" s="67"/>
      <c r="D263" s="87"/>
      <c r="E263" s="72">
        <f>SUM(E264:E278)</f>
        <v>180300665.99000001</v>
      </c>
      <c r="F263" s="72">
        <f t="shared" ref="F263:AA263" si="74">SUM(F264:F278)</f>
        <v>2154470.94</v>
      </c>
      <c r="G263" s="72">
        <f t="shared" si="74"/>
        <v>3493865.44</v>
      </c>
      <c r="H263" s="72">
        <f t="shared" si="74"/>
        <v>0</v>
      </c>
      <c r="I263" s="72">
        <f t="shared" si="74"/>
        <v>2826892</v>
      </c>
      <c r="J263" s="72">
        <f t="shared" si="74"/>
        <v>0</v>
      </c>
      <c r="K263" s="72">
        <f t="shared" si="74"/>
        <v>0</v>
      </c>
      <c r="L263" s="156">
        <f t="shared" si="74"/>
        <v>4</v>
      </c>
      <c r="M263" s="72">
        <f t="shared" si="74"/>
        <v>15914409.859999999</v>
      </c>
      <c r="N263" s="72">
        <f t="shared" si="74"/>
        <v>12074.449999999999</v>
      </c>
      <c r="O263" s="72">
        <f t="shared" si="74"/>
        <v>149256338.11999997</v>
      </c>
      <c r="P263" s="72">
        <f t="shared" si="74"/>
        <v>0</v>
      </c>
      <c r="Q263" s="72">
        <f t="shared" si="74"/>
        <v>0</v>
      </c>
      <c r="R263" s="72">
        <f t="shared" si="74"/>
        <v>0</v>
      </c>
      <c r="S263" s="72">
        <f t="shared" si="74"/>
        <v>0</v>
      </c>
      <c r="T263" s="72">
        <f t="shared" si="74"/>
        <v>0</v>
      </c>
      <c r="U263" s="72">
        <f t="shared" si="74"/>
        <v>0</v>
      </c>
      <c r="V263" s="72">
        <f t="shared" si="74"/>
        <v>0</v>
      </c>
      <c r="W263" s="72">
        <f t="shared" si="74"/>
        <v>0</v>
      </c>
      <c r="X263" s="72">
        <f t="shared" si="74"/>
        <v>0</v>
      </c>
      <c r="Y263" s="72">
        <f t="shared" si="74"/>
        <v>4050000</v>
      </c>
      <c r="Z263" s="72">
        <f t="shared" si="74"/>
        <v>2604689.63</v>
      </c>
      <c r="AA263" s="72">
        <f t="shared" si="74"/>
        <v>0</v>
      </c>
      <c r="AB263" s="66" t="s">
        <v>423</v>
      </c>
      <c r="AC263" s="66" t="s">
        <v>423</v>
      </c>
      <c r="AD263" s="66" t="s">
        <v>423</v>
      </c>
    </row>
    <row r="264" spans="1:30" x14ac:dyDescent="0.3">
      <c r="A264">
        <v>1</v>
      </c>
      <c r="B264" s="68">
        <f>SUBTOTAL(9,$A$189:A264)</f>
        <v>71</v>
      </c>
      <c r="C264" s="73" t="s">
        <v>328</v>
      </c>
      <c r="D264" s="79" t="s">
        <v>610</v>
      </c>
      <c r="E264" s="65">
        <f t="shared" ref="E264:E272" si="75">F264+G264+H264+I264+J264+K264+M264+O264+Q264+S264+U264+V264+W264+X264+Z264+AA264+Y264</f>
        <v>13580017.5</v>
      </c>
      <c r="F264" s="77">
        <v>0</v>
      </c>
      <c r="G264" s="77">
        <v>0</v>
      </c>
      <c r="H264" s="77">
        <v>0</v>
      </c>
      <c r="I264" s="77">
        <v>0</v>
      </c>
      <c r="J264" s="77">
        <v>0</v>
      </c>
      <c r="K264" s="77">
        <v>0</v>
      </c>
      <c r="L264" s="154">
        <v>0</v>
      </c>
      <c r="M264" s="77">
        <v>0</v>
      </c>
      <c r="N264" s="77">
        <v>1050</v>
      </c>
      <c r="O264" s="77">
        <v>13083761.08</v>
      </c>
      <c r="P264" s="77">
        <v>0</v>
      </c>
      <c r="Q264" s="77">
        <v>0</v>
      </c>
      <c r="R264" s="77">
        <v>0</v>
      </c>
      <c r="S264" s="77">
        <v>0</v>
      </c>
      <c r="T264" s="77">
        <v>0</v>
      </c>
      <c r="U264" s="77">
        <v>0</v>
      </c>
      <c r="V264" s="77">
        <v>0</v>
      </c>
      <c r="W264" s="77">
        <v>0</v>
      </c>
      <c r="X264" s="77">
        <v>0</v>
      </c>
      <c r="Y264" s="77">
        <v>300000</v>
      </c>
      <c r="Z264" s="77">
        <f>ROUND(O264*1.5%,2)</f>
        <v>196256.42</v>
      </c>
      <c r="AA264" s="77">
        <v>0</v>
      </c>
      <c r="AB264" s="70">
        <v>2027</v>
      </c>
      <c r="AC264" s="70">
        <v>2027</v>
      </c>
      <c r="AD264" s="70">
        <v>2027</v>
      </c>
    </row>
    <row r="265" spans="1:30" x14ac:dyDescent="0.3">
      <c r="A265">
        <v>1</v>
      </c>
      <c r="B265" s="68">
        <f>SUBTOTAL(9,$A$189:A265)</f>
        <v>72</v>
      </c>
      <c r="C265" s="73" t="s">
        <v>342</v>
      </c>
      <c r="D265" s="79" t="s">
        <v>610</v>
      </c>
      <c r="E265" s="65">
        <f t="shared" si="75"/>
        <v>15131855.92</v>
      </c>
      <c r="F265" s="77">
        <v>0</v>
      </c>
      <c r="G265" s="77">
        <v>0</v>
      </c>
      <c r="H265" s="77">
        <v>0</v>
      </c>
      <c r="I265" s="77">
        <v>0</v>
      </c>
      <c r="J265" s="77">
        <v>0</v>
      </c>
      <c r="K265" s="77">
        <v>0</v>
      </c>
      <c r="L265" s="154">
        <v>0</v>
      </c>
      <c r="M265" s="77">
        <v>0</v>
      </c>
      <c r="N265" s="77">
        <v>1192</v>
      </c>
      <c r="O265" s="77">
        <v>14612665.93</v>
      </c>
      <c r="P265" s="77">
        <v>0</v>
      </c>
      <c r="Q265" s="77">
        <v>0</v>
      </c>
      <c r="R265" s="77">
        <v>0</v>
      </c>
      <c r="S265" s="77">
        <v>0</v>
      </c>
      <c r="T265" s="77">
        <v>0</v>
      </c>
      <c r="U265" s="77">
        <v>0</v>
      </c>
      <c r="V265" s="77">
        <v>0</v>
      </c>
      <c r="W265" s="77">
        <v>0</v>
      </c>
      <c r="X265" s="77">
        <v>0</v>
      </c>
      <c r="Y265" s="77">
        <v>300000</v>
      </c>
      <c r="Z265" s="77">
        <f t="shared" ref="Z265:Z277" si="76">ROUND(O265*1.5%,2)</f>
        <v>219189.99</v>
      </c>
      <c r="AA265" s="77">
        <v>0</v>
      </c>
      <c r="AB265" s="70">
        <v>2027</v>
      </c>
      <c r="AC265" s="70">
        <v>2027</v>
      </c>
      <c r="AD265" s="70">
        <v>2027</v>
      </c>
    </row>
    <row r="266" spans="1:30" x14ac:dyDescent="0.3">
      <c r="A266">
        <v>1</v>
      </c>
      <c r="B266" s="68">
        <f>SUBTOTAL(9,$A$189:A266)</f>
        <v>73</v>
      </c>
      <c r="C266" s="73" t="s">
        <v>326</v>
      </c>
      <c r="D266" s="79" t="s">
        <v>610</v>
      </c>
      <c r="E266" s="65">
        <f t="shared" si="75"/>
        <v>18753357.5</v>
      </c>
      <c r="F266" s="77">
        <v>0</v>
      </c>
      <c r="G266" s="77">
        <v>0</v>
      </c>
      <c r="H266" s="77">
        <v>0</v>
      </c>
      <c r="I266" s="77">
        <v>0</v>
      </c>
      <c r="J266" s="77">
        <v>0</v>
      </c>
      <c r="K266" s="77">
        <v>0</v>
      </c>
      <c r="L266" s="154">
        <v>0</v>
      </c>
      <c r="M266" s="77">
        <v>0</v>
      </c>
      <c r="N266" s="77">
        <v>1450</v>
      </c>
      <c r="O266" s="77">
        <v>18180647.780000001</v>
      </c>
      <c r="P266" s="77">
        <v>0</v>
      </c>
      <c r="Q266" s="77">
        <v>0</v>
      </c>
      <c r="R266" s="77">
        <v>0</v>
      </c>
      <c r="S266" s="77">
        <v>0</v>
      </c>
      <c r="T266" s="77">
        <v>0</v>
      </c>
      <c r="U266" s="77">
        <v>0</v>
      </c>
      <c r="V266" s="77">
        <v>0</v>
      </c>
      <c r="W266" s="77">
        <v>0</v>
      </c>
      <c r="X266" s="77">
        <v>0</v>
      </c>
      <c r="Y266" s="77">
        <v>300000</v>
      </c>
      <c r="Z266" s="77">
        <f t="shared" si="76"/>
        <v>272709.71999999997</v>
      </c>
      <c r="AA266" s="77">
        <v>0</v>
      </c>
      <c r="AB266" s="70">
        <v>2027</v>
      </c>
      <c r="AC266" s="70">
        <v>2027</v>
      </c>
      <c r="AD266" s="70">
        <v>2027</v>
      </c>
    </row>
    <row r="267" spans="1:30" x14ac:dyDescent="0.3">
      <c r="A267">
        <v>1</v>
      </c>
      <c r="B267" s="68">
        <f>SUBTOTAL(9,$A$189:A267)</f>
        <v>74</v>
      </c>
      <c r="C267" s="73" t="s">
        <v>346</v>
      </c>
      <c r="D267" s="79" t="s">
        <v>610</v>
      </c>
      <c r="E267" s="65">
        <f t="shared" si="75"/>
        <v>11412364.49</v>
      </c>
      <c r="F267" s="77">
        <v>0</v>
      </c>
      <c r="G267" s="77">
        <v>0</v>
      </c>
      <c r="H267" s="77">
        <v>0</v>
      </c>
      <c r="I267" s="77">
        <v>0</v>
      </c>
      <c r="J267" s="77">
        <v>0</v>
      </c>
      <c r="K267" s="77">
        <v>0</v>
      </c>
      <c r="L267" s="154">
        <v>0</v>
      </c>
      <c r="M267" s="77">
        <v>0</v>
      </c>
      <c r="N267" s="77">
        <v>899</v>
      </c>
      <c r="O267" s="77">
        <v>10997403.439999999</v>
      </c>
      <c r="P267" s="77">
        <v>0</v>
      </c>
      <c r="Q267" s="77">
        <v>0</v>
      </c>
      <c r="R267" s="77">
        <v>0</v>
      </c>
      <c r="S267" s="77">
        <v>0</v>
      </c>
      <c r="T267" s="77">
        <v>0</v>
      </c>
      <c r="U267" s="77">
        <v>0</v>
      </c>
      <c r="V267" s="77">
        <v>0</v>
      </c>
      <c r="W267" s="77">
        <v>0</v>
      </c>
      <c r="X267" s="77">
        <v>0</v>
      </c>
      <c r="Y267" s="77">
        <v>250000</v>
      </c>
      <c r="Z267" s="77">
        <f t="shared" si="76"/>
        <v>164961.04999999999</v>
      </c>
      <c r="AA267" s="77">
        <v>0</v>
      </c>
      <c r="AB267" s="70">
        <v>2027</v>
      </c>
      <c r="AC267" s="70">
        <v>2027</v>
      </c>
      <c r="AD267" s="70">
        <v>2027</v>
      </c>
    </row>
    <row r="268" spans="1:30" x14ac:dyDescent="0.3">
      <c r="A268">
        <v>1</v>
      </c>
      <c r="B268" s="68">
        <f>SUBTOTAL(9,$A$189:A268)</f>
        <v>75</v>
      </c>
      <c r="C268" s="73" t="s">
        <v>340</v>
      </c>
      <c r="D268" s="79" t="s">
        <v>610</v>
      </c>
      <c r="E268" s="65">
        <f t="shared" si="75"/>
        <v>12933350</v>
      </c>
      <c r="F268" s="77">
        <v>0</v>
      </c>
      <c r="G268" s="77">
        <v>0</v>
      </c>
      <c r="H268" s="77">
        <v>0</v>
      </c>
      <c r="I268" s="77">
        <v>0</v>
      </c>
      <c r="J268" s="77">
        <v>0</v>
      </c>
      <c r="K268" s="77">
        <v>0</v>
      </c>
      <c r="L268" s="154">
        <v>0</v>
      </c>
      <c r="M268" s="77">
        <v>0</v>
      </c>
      <c r="N268" s="77">
        <v>1000</v>
      </c>
      <c r="O268" s="77">
        <v>12446650.25</v>
      </c>
      <c r="P268" s="77">
        <v>0</v>
      </c>
      <c r="Q268" s="77">
        <v>0</v>
      </c>
      <c r="R268" s="77">
        <v>0</v>
      </c>
      <c r="S268" s="77">
        <v>0</v>
      </c>
      <c r="T268" s="77">
        <v>0</v>
      </c>
      <c r="U268" s="77">
        <v>0</v>
      </c>
      <c r="V268" s="77">
        <v>0</v>
      </c>
      <c r="W268" s="77">
        <v>0</v>
      </c>
      <c r="X268" s="77">
        <v>0</v>
      </c>
      <c r="Y268" s="77">
        <v>300000</v>
      </c>
      <c r="Z268" s="77">
        <f t="shared" si="76"/>
        <v>186699.75</v>
      </c>
      <c r="AA268" s="77">
        <v>0</v>
      </c>
      <c r="AB268" s="70">
        <v>2027</v>
      </c>
      <c r="AC268" s="70">
        <v>2027</v>
      </c>
      <c r="AD268" s="70">
        <v>2027</v>
      </c>
    </row>
    <row r="269" spans="1:30" x14ac:dyDescent="0.3">
      <c r="A269">
        <v>1</v>
      </c>
      <c r="B269" s="68">
        <f>SUBTOTAL(9,$A$189:A269)</f>
        <v>76</v>
      </c>
      <c r="C269" s="73" t="s">
        <v>338</v>
      </c>
      <c r="D269" s="79" t="s">
        <v>610</v>
      </c>
      <c r="E269" s="65">
        <f t="shared" si="75"/>
        <v>16304955.59</v>
      </c>
      <c r="F269" s="77">
        <v>0</v>
      </c>
      <c r="G269" s="77">
        <v>0</v>
      </c>
      <c r="H269" s="77">
        <v>0</v>
      </c>
      <c r="I269" s="77">
        <v>0</v>
      </c>
      <c r="J269" s="77">
        <v>0</v>
      </c>
      <c r="K269" s="77">
        <v>0</v>
      </c>
      <c r="L269" s="154">
        <v>0</v>
      </c>
      <c r="M269" s="77">
        <v>0</v>
      </c>
      <c r="N269" s="77">
        <v>1284.4100000000001</v>
      </c>
      <c r="O269" s="77">
        <v>15768429.15</v>
      </c>
      <c r="P269" s="77">
        <v>0</v>
      </c>
      <c r="Q269" s="77">
        <v>0</v>
      </c>
      <c r="R269" s="77">
        <v>0</v>
      </c>
      <c r="S269" s="77">
        <v>0</v>
      </c>
      <c r="T269" s="77">
        <v>0</v>
      </c>
      <c r="U269" s="77">
        <v>0</v>
      </c>
      <c r="V269" s="77">
        <v>0</v>
      </c>
      <c r="W269" s="77">
        <v>0</v>
      </c>
      <c r="X269" s="77">
        <v>0</v>
      </c>
      <c r="Y269" s="77">
        <v>300000</v>
      </c>
      <c r="Z269" s="77">
        <f t="shared" si="76"/>
        <v>236526.44</v>
      </c>
      <c r="AA269" s="77">
        <v>0</v>
      </c>
      <c r="AB269" s="70">
        <v>2027</v>
      </c>
      <c r="AC269" s="70">
        <v>2027</v>
      </c>
      <c r="AD269" s="70">
        <v>2027</v>
      </c>
    </row>
    <row r="270" spans="1:30" x14ac:dyDescent="0.3">
      <c r="A270">
        <v>1</v>
      </c>
      <c r="B270" s="68">
        <f>SUBTOTAL(9,$A$189:A270)</f>
        <v>77</v>
      </c>
      <c r="C270" s="73" t="s">
        <v>336</v>
      </c>
      <c r="D270" s="79" t="s">
        <v>610</v>
      </c>
      <c r="E270" s="65">
        <f t="shared" si="75"/>
        <v>11353153.299999999</v>
      </c>
      <c r="F270" s="77">
        <v>0</v>
      </c>
      <c r="G270" s="77">
        <v>0</v>
      </c>
      <c r="H270" s="77">
        <v>0</v>
      </c>
      <c r="I270" s="77">
        <v>0</v>
      </c>
      <c r="J270" s="77">
        <v>0</v>
      </c>
      <c r="K270" s="77">
        <v>0</v>
      </c>
      <c r="L270" s="154">
        <v>0</v>
      </c>
      <c r="M270" s="77">
        <v>0</v>
      </c>
      <c r="N270" s="77">
        <v>877.82</v>
      </c>
      <c r="O270" s="77">
        <v>10939067.289999999</v>
      </c>
      <c r="P270" s="77">
        <v>0</v>
      </c>
      <c r="Q270" s="77">
        <v>0</v>
      </c>
      <c r="R270" s="77">
        <v>0</v>
      </c>
      <c r="S270" s="77">
        <v>0</v>
      </c>
      <c r="T270" s="77">
        <v>0</v>
      </c>
      <c r="U270" s="77">
        <v>0</v>
      </c>
      <c r="V270" s="77">
        <v>0</v>
      </c>
      <c r="W270" s="77">
        <v>0</v>
      </c>
      <c r="X270" s="77">
        <v>0</v>
      </c>
      <c r="Y270" s="77">
        <v>250000</v>
      </c>
      <c r="Z270" s="77">
        <f t="shared" si="76"/>
        <v>164086.01</v>
      </c>
      <c r="AA270" s="77">
        <v>0</v>
      </c>
      <c r="AB270" s="70">
        <v>2027</v>
      </c>
      <c r="AC270" s="70">
        <v>2027</v>
      </c>
      <c r="AD270" s="70">
        <v>2027</v>
      </c>
    </row>
    <row r="271" spans="1:30" x14ac:dyDescent="0.3">
      <c r="A271">
        <v>1</v>
      </c>
      <c r="B271" s="68">
        <f>SUBTOTAL(9,$A$189:A271)</f>
        <v>78</v>
      </c>
      <c r="C271" s="73" t="s">
        <v>333</v>
      </c>
      <c r="D271" s="79" t="s">
        <v>610</v>
      </c>
      <c r="E271" s="65">
        <f t="shared" si="75"/>
        <v>11252014.5</v>
      </c>
      <c r="F271" s="77">
        <v>0</v>
      </c>
      <c r="G271" s="77">
        <v>0</v>
      </c>
      <c r="H271" s="77">
        <v>0</v>
      </c>
      <c r="I271" s="77">
        <v>0</v>
      </c>
      <c r="J271" s="77">
        <v>0</v>
      </c>
      <c r="K271" s="77">
        <v>0</v>
      </c>
      <c r="L271" s="154">
        <v>0</v>
      </c>
      <c r="M271" s="77">
        <v>0</v>
      </c>
      <c r="N271" s="77">
        <v>870</v>
      </c>
      <c r="O271" s="77">
        <v>10839423.15</v>
      </c>
      <c r="P271" s="77">
        <v>0</v>
      </c>
      <c r="Q271" s="77">
        <v>0</v>
      </c>
      <c r="R271" s="77">
        <v>0</v>
      </c>
      <c r="S271" s="77">
        <v>0</v>
      </c>
      <c r="T271" s="77">
        <v>0</v>
      </c>
      <c r="U271" s="77">
        <v>0</v>
      </c>
      <c r="V271" s="77">
        <v>0</v>
      </c>
      <c r="W271" s="77">
        <v>0</v>
      </c>
      <c r="X271" s="77">
        <v>0</v>
      </c>
      <c r="Y271" s="77">
        <v>250000</v>
      </c>
      <c r="Z271" s="77">
        <f t="shared" si="76"/>
        <v>162591.35</v>
      </c>
      <c r="AA271" s="77">
        <v>0</v>
      </c>
      <c r="AB271" s="70">
        <v>2027</v>
      </c>
      <c r="AC271" s="70">
        <v>2027</v>
      </c>
      <c r="AD271" s="70">
        <v>2027</v>
      </c>
    </row>
    <row r="272" spans="1:30" x14ac:dyDescent="0.3">
      <c r="A272">
        <v>1</v>
      </c>
      <c r="B272" s="68">
        <f>SUBTOTAL(9,$A$189:A272)</f>
        <v>79</v>
      </c>
      <c r="C272" s="73" t="s">
        <v>345</v>
      </c>
      <c r="D272" s="79" t="s">
        <v>610</v>
      </c>
      <c r="E272" s="65">
        <f t="shared" si="75"/>
        <v>11510681.5</v>
      </c>
      <c r="F272" s="77">
        <v>0</v>
      </c>
      <c r="G272" s="77">
        <v>0</v>
      </c>
      <c r="H272" s="77">
        <v>0</v>
      </c>
      <c r="I272" s="77">
        <v>0</v>
      </c>
      <c r="J272" s="77">
        <v>0</v>
      </c>
      <c r="K272" s="77">
        <v>0</v>
      </c>
      <c r="L272" s="154">
        <v>0</v>
      </c>
      <c r="M272" s="77">
        <v>0</v>
      </c>
      <c r="N272" s="77">
        <v>890</v>
      </c>
      <c r="O272" s="77">
        <v>11094267.49</v>
      </c>
      <c r="P272" s="77">
        <v>0</v>
      </c>
      <c r="Q272" s="77">
        <v>0</v>
      </c>
      <c r="R272" s="77">
        <v>0</v>
      </c>
      <c r="S272" s="77">
        <v>0</v>
      </c>
      <c r="T272" s="77">
        <v>0</v>
      </c>
      <c r="U272" s="77">
        <v>0</v>
      </c>
      <c r="V272" s="77">
        <v>0</v>
      </c>
      <c r="W272" s="77">
        <v>0</v>
      </c>
      <c r="X272" s="77">
        <v>0</v>
      </c>
      <c r="Y272" s="77">
        <v>250000</v>
      </c>
      <c r="Z272" s="77">
        <f t="shared" si="76"/>
        <v>166414.01</v>
      </c>
      <c r="AA272" s="77">
        <v>0</v>
      </c>
      <c r="AB272" s="70">
        <v>2027</v>
      </c>
      <c r="AC272" s="70">
        <v>2027</v>
      </c>
      <c r="AD272" s="70">
        <v>2027</v>
      </c>
    </row>
    <row r="273" spans="1:30" x14ac:dyDescent="0.3">
      <c r="A273">
        <v>1</v>
      </c>
      <c r="B273" s="68">
        <f>SUBTOTAL(9,$A$189:A273)</f>
        <v>80</v>
      </c>
      <c r="C273" s="73" t="s">
        <v>329</v>
      </c>
      <c r="D273" s="79" t="s">
        <v>610</v>
      </c>
      <c r="E273" s="65">
        <f t="shared" ref="E273:E278" si="77">F273+G273+H273+I273+J273+K273+M273+O273+Q273+S273+U273+V273+W273+X273+Z273+AA273+Y273</f>
        <v>8326563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154">
        <v>2</v>
      </c>
      <c r="M273" s="77">
        <v>7957204.9299999997</v>
      </c>
      <c r="N273" s="77">
        <v>0</v>
      </c>
      <c r="O273" s="77">
        <v>0</v>
      </c>
      <c r="P273" s="77">
        <v>0</v>
      </c>
      <c r="Q273" s="77">
        <v>0</v>
      </c>
      <c r="R273" s="77">
        <v>0</v>
      </c>
      <c r="S273" s="77">
        <v>0</v>
      </c>
      <c r="T273" s="77">
        <v>0</v>
      </c>
      <c r="U273" s="77">
        <v>0</v>
      </c>
      <c r="V273" s="77">
        <v>0</v>
      </c>
      <c r="W273" s="77">
        <v>0</v>
      </c>
      <c r="X273" s="77">
        <v>0</v>
      </c>
      <c r="Y273" s="77">
        <v>250000</v>
      </c>
      <c r="Z273" s="77">
        <f>ROUND(M273*1.5%,2)</f>
        <v>119358.07</v>
      </c>
      <c r="AA273" s="77">
        <v>0</v>
      </c>
      <c r="AB273" s="70">
        <v>2027</v>
      </c>
      <c r="AC273" s="70">
        <v>2027</v>
      </c>
      <c r="AD273" s="70">
        <v>2027</v>
      </c>
    </row>
    <row r="274" spans="1:30" x14ac:dyDescent="0.3">
      <c r="A274">
        <v>1</v>
      </c>
      <c r="B274" s="68">
        <f>SUBTOTAL(9,$A$189:A274)</f>
        <v>81</v>
      </c>
      <c r="C274" s="73" t="s">
        <v>330</v>
      </c>
      <c r="D274" s="79" t="s">
        <v>610</v>
      </c>
      <c r="E274" s="65">
        <f t="shared" si="77"/>
        <v>8326563</v>
      </c>
      <c r="F274" s="77">
        <v>0</v>
      </c>
      <c r="G274" s="77">
        <v>0</v>
      </c>
      <c r="H274" s="77">
        <v>0</v>
      </c>
      <c r="I274" s="77">
        <v>0</v>
      </c>
      <c r="J274" s="77">
        <v>0</v>
      </c>
      <c r="K274" s="77">
        <v>0</v>
      </c>
      <c r="L274" s="154">
        <v>2</v>
      </c>
      <c r="M274" s="77">
        <v>7957204.9299999997</v>
      </c>
      <c r="N274" s="77">
        <v>0</v>
      </c>
      <c r="O274" s="77">
        <v>0</v>
      </c>
      <c r="P274" s="77">
        <v>0</v>
      </c>
      <c r="Q274" s="77">
        <v>0</v>
      </c>
      <c r="R274" s="77">
        <v>0</v>
      </c>
      <c r="S274" s="77">
        <v>0</v>
      </c>
      <c r="T274" s="77">
        <v>0</v>
      </c>
      <c r="U274" s="77">
        <v>0</v>
      </c>
      <c r="V274" s="77">
        <v>0</v>
      </c>
      <c r="W274" s="77">
        <v>0</v>
      </c>
      <c r="X274" s="77">
        <v>0</v>
      </c>
      <c r="Y274" s="77">
        <v>250000</v>
      </c>
      <c r="Z274" s="77">
        <f>ROUND(M274*1.5%,2)</f>
        <v>119358.07</v>
      </c>
      <c r="AA274" s="77">
        <v>0</v>
      </c>
      <c r="AB274" s="70">
        <v>2027</v>
      </c>
      <c r="AC274" s="70">
        <v>2027</v>
      </c>
      <c r="AD274" s="70">
        <v>2027</v>
      </c>
    </row>
    <row r="275" spans="1:30" x14ac:dyDescent="0.3">
      <c r="A275">
        <v>1</v>
      </c>
      <c r="B275" s="68">
        <f>SUBTOTAL(9,$A$189:A275)</f>
        <v>82</v>
      </c>
      <c r="C275" s="73" t="s">
        <v>352</v>
      </c>
      <c r="D275" s="79" t="s">
        <v>610</v>
      </c>
      <c r="E275" s="65">
        <f t="shared" si="77"/>
        <v>5009253.6399999997</v>
      </c>
      <c r="F275" s="77">
        <v>0</v>
      </c>
      <c r="G275" s="77">
        <v>0</v>
      </c>
      <c r="H275" s="77">
        <v>0</v>
      </c>
      <c r="I275" s="77">
        <v>0</v>
      </c>
      <c r="J275" s="77">
        <v>0</v>
      </c>
      <c r="K275" s="77">
        <v>0</v>
      </c>
      <c r="L275" s="154">
        <v>0</v>
      </c>
      <c r="M275" s="77">
        <v>0</v>
      </c>
      <c r="N275" s="77">
        <v>394.6</v>
      </c>
      <c r="O275" s="77">
        <v>4738180.93</v>
      </c>
      <c r="P275" s="77">
        <v>0</v>
      </c>
      <c r="Q275" s="77">
        <v>0</v>
      </c>
      <c r="R275" s="77">
        <v>0</v>
      </c>
      <c r="S275" s="77">
        <v>0</v>
      </c>
      <c r="T275" s="77">
        <v>0</v>
      </c>
      <c r="U275" s="77">
        <v>0</v>
      </c>
      <c r="V275" s="77">
        <v>0</v>
      </c>
      <c r="W275" s="77">
        <v>0</v>
      </c>
      <c r="X275" s="77">
        <v>0</v>
      </c>
      <c r="Y275" s="77">
        <v>200000</v>
      </c>
      <c r="Z275" s="77">
        <f t="shared" si="76"/>
        <v>71072.710000000006</v>
      </c>
      <c r="AA275" s="77">
        <v>0</v>
      </c>
      <c r="AB275" s="70">
        <v>2027</v>
      </c>
      <c r="AC275" s="70">
        <v>2027</v>
      </c>
      <c r="AD275" s="70">
        <v>2027</v>
      </c>
    </row>
    <row r="276" spans="1:30" x14ac:dyDescent="0.3">
      <c r="A276">
        <v>1</v>
      </c>
      <c r="B276" s="68">
        <f>SUBTOTAL(9,$A$189:A276)</f>
        <v>83</v>
      </c>
      <c r="C276" s="73" t="s">
        <v>351</v>
      </c>
      <c r="D276" s="79" t="s">
        <v>610</v>
      </c>
      <c r="E276" s="65">
        <f t="shared" si="77"/>
        <v>4651014.57</v>
      </c>
      <c r="F276" s="77">
        <v>0</v>
      </c>
      <c r="G276" s="77">
        <v>0</v>
      </c>
      <c r="H276" s="77">
        <v>0</v>
      </c>
      <c r="I276" s="77">
        <v>0</v>
      </c>
      <c r="J276" s="77">
        <v>0</v>
      </c>
      <c r="K276" s="77">
        <v>0</v>
      </c>
      <c r="L276" s="154">
        <v>0</v>
      </c>
      <c r="M276" s="77">
        <v>0</v>
      </c>
      <c r="N276" s="77">
        <v>366.38</v>
      </c>
      <c r="O276" s="77">
        <v>4385236.03</v>
      </c>
      <c r="P276" s="77">
        <v>0</v>
      </c>
      <c r="Q276" s="77">
        <v>0</v>
      </c>
      <c r="R276" s="77">
        <v>0</v>
      </c>
      <c r="S276" s="77">
        <v>0</v>
      </c>
      <c r="T276" s="77">
        <v>0</v>
      </c>
      <c r="U276" s="77">
        <v>0</v>
      </c>
      <c r="V276" s="77">
        <v>0</v>
      </c>
      <c r="W276" s="77">
        <v>0</v>
      </c>
      <c r="X276" s="77">
        <v>0</v>
      </c>
      <c r="Y276" s="77">
        <v>200000</v>
      </c>
      <c r="Z276" s="77">
        <f t="shared" si="76"/>
        <v>65778.539999999994</v>
      </c>
      <c r="AA276" s="77">
        <v>0</v>
      </c>
      <c r="AB276" s="70">
        <v>2027</v>
      </c>
      <c r="AC276" s="70">
        <v>2027</v>
      </c>
      <c r="AD276" s="70">
        <v>2027</v>
      </c>
    </row>
    <row r="277" spans="1:30" x14ac:dyDescent="0.3">
      <c r="A277">
        <v>1</v>
      </c>
      <c r="B277" s="68">
        <f>SUBTOTAL(9,$A$189:A277)</f>
        <v>84</v>
      </c>
      <c r="C277" s="73" t="s">
        <v>361</v>
      </c>
      <c r="D277" s="79" t="s">
        <v>610</v>
      </c>
      <c r="E277" s="65">
        <f t="shared" si="77"/>
        <v>22853164.68</v>
      </c>
      <c r="F277" s="77">
        <v>0</v>
      </c>
      <c r="G277" s="77">
        <v>0</v>
      </c>
      <c r="H277" s="77">
        <v>0</v>
      </c>
      <c r="I277" s="77">
        <v>0</v>
      </c>
      <c r="J277" s="77">
        <v>0</v>
      </c>
      <c r="K277" s="77">
        <v>0</v>
      </c>
      <c r="L277" s="154">
        <v>0</v>
      </c>
      <c r="M277" s="77">
        <v>0</v>
      </c>
      <c r="N277" s="77">
        <v>1800.24</v>
      </c>
      <c r="O277" s="77">
        <v>22170605.600000001</v>
      </c>
      <c r="P277" s="77">
        <v>0</v>
      </c>
      <c r="Q277" s="77">
        <v>0</v>
      </c>
      <c r="R277" s="77">
        <v>0</v>
      </c>
      <c r="S277" s="77">
        <v>0</v>
      </c>
      <c r="T277" s="77">
        <v>0</v>
      </c>
      <c r="U277" s="77">
        <v>0</v>
      </c>
      <c r="V277" s="77">
        <v>0</v>
      </c>
      <c r="W277" s="77">
        <v>0</v>
      </c>
      <c r="X277" s="77">
        <v>0</v>
      </c>
      <c r="Y277" s="77">
        <v>350000</v>
      </c>
      <c r="Z277" s="77">
        <f t="shared" si="76"/>
        <v>332559.08</v>
      </c>
      <c r="AA277" s="77">
        <v>0</v>
      </c>
      <c r="AB277" s="70">
        <v>2027</v>
      </c>
      <c r="AC277" s="70">
        <v>2027</v>
      </c>
      <c r="AD277" s="70">
        <v>2027</v>
      </c>
    </row>
    <row r="278" spans="1:30" x14ac:dyDescent="0.3">
      <c r="A278">
        <v>1</v>
      </c>
      <c r="B278" s="68">
        <f>SUBTOTAL(9,$A$189:A278)</f>
        <v>85</v>
      </c>
      <c r="C278" s="73" t="s">
        <v>362</v>
      </c>
      <c r="D278" s="79" t="s">
        <v>610</v>
      </c>
      <c r="E278" s="65">
        <f t="shared" si="77"/>
        <v>8902356.7999999989</v>
      </c>
      <c r="F278" s="77">
        <v>2154470.94</v>
      </c>
      <c r="G278" s="77">
        <v>3493865.44</v>
      </c>
      <c r="H278" s="77">
        <v>0</v>
      </c>
      <c r="I278" s="77">
        <v>2826892</v>
      </c>
      <c r="J278" s="77">
        <v>0</v>
      </c>
      <c r="K278" s="77">
        <v>0</v>
      </c>
      <c r="L278" s="154">
        <v>0</v>
      </c>
      <c r="M278" s="77">
        <v>0</v>
      </c>
      <c r="N278" s="77">
        <v>0</v>
      </c>
      <c r="O278" s="77">
        <v>0</v>
      </c>
      <c r="P278" s="77">
        <v>0</v>
      </c>
      <c r="Q278" s="77">
        <v>0</v>
      </c>
      <c r="R278" s="77">
        <v>0</v>
      </c>
      <c r="S278" s="77">
        <v>0</v>
      </c>
      <c r="T278" s="77">
        <v>0</v>
      </c>
      <c r="U278" s="77">
        <v>0</v>
      </c>
      <c r="V278" s="77">
        <v>0</v>
      </c>
      <c r="W278" s="77">
        <v>0</v>
      </c>
      <c r="X278" s="77">
        <v>0</v>
      </c>
      <c r="Y278" s="77">
        <v>300000</v>
      </c>
      <c r="Z278" s="77">
        <f>ROUND(F278*1.5%,2)+ROUND(G278*1.5%,2)+ROUND(I278*1.5%,2)</f>
        <v>127128.42000000001</v>
      </c>
      <c r="AA278" s="77">
        <v>0</v>
      </c>
      <c r="AB278" s="70">
        <v>2027</v>
      </c>
      <c r="AC278" s="70">
        <v>2027</v>
      </c>
      <c r="AD278" s="70">
        <v>2027</v>
      </c>
    </row>
    <row r="279" spans="1:30" x14ac:dyDescent="0.3">
      <c r="B279" s="67" t="s">
        <v>503</v>
      </c>
      <c r="C279" s="67"/>
      <c r="D279" s="87"/>
      <c r="E279" s="72">
        <f>E280+E281+E282</f>
        <v>33450033.850000001</v>
      </c>
      <c r="F279" s="72">
        <f t="shared" ref="F279:AA279" si="78">F280+F281+F282</f>
        <v>0</v>
      </c>
      <c r="G279" s="72">
        <f t="shared" si="78"/>
        <v>0</v>
      </c>
      <c r="H279" s="72">
        <f t="shared" si="78"/>
        <v>0</v>
      </c>
      <c r="I279" s="72">
        <f t="shared" si="78"/>
        <v>0</v>
      </c>
      <c r="J279" s="72">
        <f t="shared" si="78"/>
        <v>0</v>
      </c>
      <c r="K279" s="72">
        <f t="shared" si="78"/>
        <v>0</v>
      </c>
      <c r="L279" s="156">
        <f t="shared" si="78"/>
        <v>0</v>
      </c>
      <c r="M279" s="72">
        <f t="shared" si="78"/>
        <v>0</v>
      </c>
      <c r="N279" s="72">
        <f t="shared" si="78"/>
        <v>2635</v>
      </c>
      <c r="O279" s="72">
        <f t="shared" si="78"/>
        <v>32216782.119999997</v>
      </c>
      <c r="P279" s="72">
        <f t="shared" si="78"/>
        <v>0</v>
      </c>
      <c r="Q279" s="72">
        <f t="shared" si="78"/>
        <v>0</v>
      </c>
      <c r="R279" s="72">
        <f t="shared" si="78"/>
        <v>0</v>
      </c>
      <c r="S279" s="72">
        <f t="shared" si="78"/>
        <v>0</v>
      </c>
      <c r="T279" s="72">
        <f t="shared" si="78"/>
        <v>0</v>
      </c>
      <c r="U279" s="72">
        <f t="shared" si="78"/>
        <v>0</v>
      </c>
      <c r="V279" s="72">
        <f t="shared" si="78"/>
        <v>0</v>
      </c>
      <c r="W279" s="72">
        <f t="shared" si="78"/>
        <v>0</v>
      </c>
      <c r="X279" s="72">
        <f t="shared" si="78"/>
        <v>0</v>
      </c>
      <c r="Y279" s="72">
        <f t="shared" si="78"/>
        <v>750000</v>
      </c>
      <c r="Z279" s="72">
        <f t="shared" si="78"/>
        <v>483251.73</v>
      </c>
      <c r="AA279" s="72">
        <f t="shared" si="78"/>
        <v>0</v>
      </c>
      <c r="AB279" s="66" t="s">
        <v>423</v>
      </c>
      <c r="AC279" s="66" t="s">
        <v>423</v>
      </c>
      <c r="AD279" s="66" t="s">
        <v>423</v>
      </c>
    </row>
    <row r="280" spans="1:30" x14ac:dyDescent="0.3">
      <c r="A280">
        <v>1</v>
      </c>
      <c r="B280" s="68">
        <f>SUBTOTAL(9,$A$189:A280)</f>
        <v>86</v>
      </c>
      <c r="C280" s="73" t="s">
        <v>380</v>
      </c>
      <c r="D280" s="79" t="s">
        <v>611</v>
      </c>
      <c r="E280" s="65">
        <f>F280+G280+H280+I280+J280+K280+M280+O280+Q280+S280+U280+V280+W280+X280+Z280+AA280+Y280</f>
        <v>7045453.0499999998</v>
      </c>
      <c r="F280" s="77">
        <v>0</v>
      </c>
      <c r="G280" s="77">
        <v>0</v>
      </c>
      <c r="H280" s="77">
        <v>0</v>
      </c>
      <c r="I280" s="77">
        <v>0</v>
      </c>
      <c r="J280" s="77">
        <v>0</v>
      </c>
      <c r="K280" s="77">
        <v>0</v>
      </c>
      <c r="L280" s="155">
        <v>0</v>
      </c>
      <c r="M280" s="77">
        <v>0</v>
      </c>
      <c r="N280" s="77">
        <v>555</v>
      </c>
      <c r="O280" s="77">
        <v>6744288.7199999997</v>
      </c>
      <c r="P280" s="77">
        <v>0</v>
      </c>
      <c r="Q280" s="77">
        <v>0</v>
      </c>
      <c r="R280" s="77">
        <v>0</v>
      </c>
      <c r="S280" s="77">
        <v>0</v>
      </c>
      <c r="T280" s="77">
        <v>0</v>
      </c>
      <c r="U280" s="77">
        <v>0</v>
      </c>
      <c r="V280" s="77">
        <v>0</v>
      </c>
      <c r="W280" s="77">
        <v>0</v>
      </c>
      <c r="X280" s="77">
        <v>0</v>
      </c>
      <c r="Y280" s="77">
        <v>200000</v>
      </c>
      <c r="Z280" s="77">
        <f>ROUND(O280*1.5%,2)</f>
        <v>101164.33</v>
      </c>
      <c r="AA280" s="77">
        <v>0</v>
      </c>
      <c r="AB280" s="70">
        <v>2027</v>
      </c>
      <c r="AC280" s="70">
        <v>2027</v>
      </c>
      <c r="AD280" s="70">
        <v>2027</v>
      </c>
    </row>
    <row r="281" spans="1:30" x14ac:dyDescent="0.3">
      <c r="A281">
        <v>1</v>
      </c>
      <c r="B281" s="68">
        <f>SUBTOTAL(9,$A$189:A281)</f>
        <v>87</v>
      </c>
      <c r="C281" s="73" t="s">
        <v>369</v>
      </c>
      <c r="D281" s="79" t="s">
        <v>611</v>
      </c>
      <c r="E281" s="65">
        <f>F281+G281+H281+I281+J281+K281+M281+O281+Q281+S281+U281+V281+W281+X281+Z281+AA281+Y281</f>
        <v>16502863</v>
      </c>
      <c r="F281" s="77">
        <v>0</v>
      </c>
      <c r="G281" s="77">
        <v>0</v>
      </c>
      <c r="H281" s="77">
        <v>0</v>
      </c>
      <c r="I281" s="77">
        <v>0</v>
      </c>
      <c r="J281" s="77">
        <v>0</v>
      </c>
      <c r="K281" s="77">
        <v>0</v>
      </c>
      <c r="L281" s="155">
        <v>0</v>
      </c>
      <c r="M281" s="77">
        <v>0</v>
      </c>
      <c r="N281" s="77">
        <v>1300</v>
      </c>
      <c r="O281" s="77">
        <v>15963411.82</v>
      </c>
      <c r="P281" s="77">
        <v>0</v>
      </c>
      <c r="Q281" s="77">
        <v>0</v>
      </c>
      <c r="R281" s="77">
        <v>0</v>
      </c>
      <c r="S281" s="77">
        <v>0</v>
      </c>
      <c r="T281" s="77">
        <v>0</v>
      </c>
      <c r="U281" s="77">
        <v>0</v>
      </c>
      <c r="V281" s="77">
        <v>0</v>
      </c>
      <c r="W281" s="77">
        <v>0</v>
      </c>
      <c r="X281" s="77">
        <v>0</v>
      </c>
      <c r="Y281" s="77">
        <v>300000</v>
      </c>
      <c r="Z281" s="77">
        <f>ROUND(O281*1.5%,2)</f>
        <v>239451.18</v>
      </c>
      <c r="AA281" s="77">
        <v>0</v>
      </c>
      <c r="AB281" s="70">
        <v>2027</v>
      </c>
      <c r="AC281" s="70">
        <v>2027</v>
      </c>
      <c r="AD281" s="70">
        <v>2027</v>
      </c>
    </row>
    <row r="282" spans="1:30" x14ac:dyDescent="0.3">
      <c r="A282">
        <v>1</v>
      </c>
      <c r="B282" s="68">
        <f>SUBTOTAL(9,$A$189:A282)</f>
        <v>88</v>
      </c>
      <c r="C282" s="73" t="s">
        <v>375</v>
      </c>
      <c r="D282" s="79" t="s">
        <v>611</v>
      </c>
      <c r="E282" s="65">
        <f>F282+G282+H282+I282+J282+K282+M282+O282+Q282+S282+U282+V282+W282+X282+Z282+AA282+Y282</f>
        <v>9901717.8000000007</v>
      </c>
      <c r="F282" s="77">
        <v>0</v>
      </c>
      <c r="G282" s="77">
        <v>0</v>
      </c>
      <c r="H282" s="77">
        <v>0</v>
      </c>
      <c r="I282" s="77">
        <v>0</v>
      </c>
      <c r="J282" s="77">
        <v>0</v>
      </c>
      <c r="K282" s="77">
        <v>0</v>
      </c>
      <c r="L282" s="155">
        <v>0</v>
      </c>
      <c r="M282" s="77">
        <v>0</v>
      </c>
      <c r="N282" s="77">
        <v>780</v>
      </c>
      <c r="O282" s="77">
        <v>9509081.5800000001</v>
      </c>
      <c r="P282" s="77">
        <v>0</v>
      </c>
      <c r="Q282" s="77">
        <v>0</v>
      </c>
      <c r="R282" s="77">
        <v>0</v>
      </c>
      <c r="S282" s="77">
        <v>0</v>
      </c>
      <c r="T282" s="77">
        <v>0</v>
      </c>
      <c r="U282" s="77">
        <v>0</v>
      </c>
      <c r="V282" s="77">
        <v>0</v>
      </c>
      <c r="W282" s="77">
        <v>0</v>
      </c>
      <c r="X282" s="77">
        <v>0</v>
      </c>
      <c r="Y282" s="77">
        <v>250000</v>
      </c>
      <c r="Z282" s="77">
        <f>ROUND(O282*1.5%,2)</f>
        <v>142636.22</v>
      </c>
      <c r="AA282" s="77">
        <v>0</v>
      </c>
      <c r="AB282" s="70">
        <v>2027</v>
      </c>
      <c r="AC282" s="70">
        <v>2027</v>
      </c>
      <c r="AD282" s="70">
        <v>2027</v>
      </c>
    </row>
    <row r="283" spans="1:30" x14ac:dyDescent="0.3">
      <c r="B283" s="67" t="s">
        <v>507</v>
      </c>
      <c r="C283" s="67"/>
      <c r="D283" s="87"/>
      <c r="E283" s="72">
        <f>E284</f>
        <v>7540538.9000000004</v>
      </c>
      <c r="F283" s="72">
        <f t="shared" ref="F283:AA283" si="79">F284</f>
        <v>0</v>
      </c>
      <c r="G283" s="72">
        <f t="shared" si="79"/>
        <v>0</v>
      </c>
      <c r="H283" s="72">
        <f t="shared" si="79"/>
        <v>0</v>
      </c>
      <c r="I283" s="72">
        <f t="shared" si="79"/>
        <v>0</v>
      </c>
      <c r="J283" s="72">
        <f t="shared" si="79"/>
        <v>0</v>
      </c>
      <c r="K283" s="72">
        <f t="shared" si="79"/>
        <v>0</v>
      </c>
      <c r="L283" s="156">
        <f t="shared" si="79"/>
        <v>0</v>
      </c>
      <c r="M283" s="72">
        <f t="shared" si="79"/>
        <v>0</v>
      </c>
      <c r="N283" s="72">
        <f t="shared" si="79"/>
        <v>594</v>
      </c>
      <c r="O283" s="72">
        <f t="shared" si="79"/>
        <v>7232058.0300000003</v>
      </c>
      <c r="P283" s="72">
        <f t="shared" si="79"/>
        <v>0</v>
      </c>
      <c r="Q283" s="72">
        <f t="shared" si="79"/>
        <v>0</v>
      </c>
      <c r="R283" s="72">
        <f t="shared" si="79"/>
        <v>0</v>
      </c>
      <c r="S283" s="72">
        <f t="shared" si="79"/>
        <v>0</v>
      </c>
      <c r="T283" s="72">
        <f t="shared" si="79"/>
        <v>0</v>
      </c>
      <c r="U283" s="72">
        <f t="shared" si="79"/>
        <v>0</v>
      </c>
      <c r="V283" s="72">
        <f t="shared" si="79"/>
        <v>0</v>
      </c>
      <c r="W283" s="72">
        <f t="shared" si="79"/>
        <v>0</v>
      </c>
      <c r="X283" s="72">
        <f t="shared" si="79"/>
        <v>0</v>
      </c>
      <c r="Y283" s="72">
        <f t="shared" si="79"/>
        <v>200000</v>
      </c>
      <c r="Z283" s="72">
        <f t="shared" si="79"/>
        <v>108480.87</v>
      </c>
      <c r="AA283" s="72">
        <f t="shared" si="79"/>
        <v>0</v>
      </c>
      <c r="AB283" s="66" t="s">
        <v>423</v>
      </c>
      <c r="AC283" s="66" t="s">
        <v>423</v>
      </c>
      <c r="AD283" s="66" t="s">
        <v>423</v>
      </c>
    </row>
    <row r="284" spans="1:30" x14ac:dyDescent="0.3">
      <c r="A284">
        <v>1</v>
      </c>
      <c r="B284" s="68">
        <f>SUBTOTAL(9,$A$189:A284)</f>
        <v>89</v>
      </c>
      <c r="C284" s="73" t="s">
        <v>372</v>
      </c>
      <c r="D284" s="79" t="s">
        <v>611</v>
      </c>
      <c r="E284" s="65">
        <f>F284+G284+H284+I284+J284+K284+M284+O284+Q284+S284+U284+V284+W284+X284+Z284+AA284+Y284</f>
        <v>7540538.9000000004</v>
      </c>
      <c r="F284" s="77">
        <v>0</v>
      </c>
      <c r="G284" s="77">
        <v>0</v>
      </c>
      <c r="H284" s="77">
        <v>0</v>
      </c>
      <c r="I284" s="77">
        <v>0</v>
      </c>
      <c r="J284" s="77">
        <v>0</v>
      </c>
      <c r="K284" s="77">
        <v>0</v>
      </c>
      <c r="L284" s="155">
        <v>0</v>
      </c>
      <c r="M284" s="77">
        <v>0</v>
      </c>
      <c r="N284" s="77">
        <v>594</v>
      </c>
      <c r="O284" s="77">
        <v>7232058.0300000003</v>
      </c>
      <c r="P284" s="77">
        <v>0</v>
      </c>
      <c r="Q284" s="77">
        <v>0</v>
      </c>
      <c r="R284" s="77">
        <v>0</v>
      </c>
      <c r="S284" s="77">
        <v>0</v>
      </c>
      <c r="T284" s="77">
        <v>0</v>
      </c>
      <c r="U284" s="77">
        <v>0</v>
      </c>
      <c r="V284" s="77">
        <v>0</v>
      </c>
      <c r="W284" s="77">
        <v>0</v>
      </c>
      <c r="X284" s="77">
        <v>0</v>
      </c>
      <c r="Y284" s="77">
        <v>200000</v>
      </c>
      <c r="Z284" s="77">
        <f>ROUND(O284*1.5%,2)</f>
        <v>108480.87</v>
      </c>
      <c r="AA284" s="77">
        <v>0</v>
      </c>
      <c r="AB284" s="70">
        <v>2027</v>
      </c>
      <c r="AC284" s="70">
        <v>2027</v>
      </c>
      <c r="AD284" s="70">
        <v>2027</v>
      </c>
    </row>
    <row r="285" spans="1:30" x14ac:dyDescent="0.3">
      <c r="B285" s="67" t="s">
        <v>508</v>
      </c>
      <c r="C285" s="67"/>
      <c r="D285" s="87"/>
      <c r="E285" s="72">
        <f>E286</f>
        <v>9114658.1800000016</v>
      </c>
      <c r="F285" s="72">
        <f t="shared" ref="F285:AA285" si="80">F286</f>
        <v>0</v>
      </c>
      <c r="G285" s="72">
        <f t="shared" si="80"/>
        <v>0</v>
      </c>
      <c r="H285" s="72">
        <f t="shared" si="80"/>
        <v>0</v>
      </c>
      <c r="I285" s="72">
        <f t="shared" si="80"/>
        <v>0</v>
      </c>
      <c r="J285" s="72">
        <f t="shared" si="80"/>
        <v>0</v>
      </c>
      <c r="K285" s="72">
        <f t="shared" si="80"/>
        <v>0</v>
      </c>
      <c r="L285" s="156">
        <f t="shared" si="80"/>
        <v>0</v>
      </c>
      <c r="M285" s="72">
        <f t="shared" si="80"/>
        <v>0</v>
      </c>
      <c r="N285" s="72">
        <f t="shared" si="80"/>
        <v>718</v>
      </c>
      <c r="O285" s="72">
        <f t="shared" si="80"/>
        <v>8733653.3800000008</v>
      </c>
      <c r="P285" s="72">
        <f t="shared" si="80"/>
        <v>0</v>
      </c>
      <c r="Q285" s="72">
        <f t="shared" si="80"/>
        <v>0</v>
      </c>
      <c r="R285" s="72">
        <f t="shared" si="80"/>
        <v>0</v>
      </c>
      <c r="S285" s="72">
        <f t="shared" si="80"/>
        <v>0</v>
      </c>
      <c r="T285" s="72">
        <f t="shared" si="80"/>
        <v>0</v>
      </c>
      <c r="U285" s="72">
        <f t="shared" si="80"/>
        <v>0</v>
      </c>
      <c r="V285" s="72">
        <f t="shared" si="80"/>
        <v>0</v>
      </c>
      <c r="W285" s="72">
        <f t="shared" si="80"/>
        <v>0</v>
      </c>
      <c r="X285" s="72">
        <f t="shared" si="80"/>
        <v>0</v>
      </c>
      <c r="Y285" s="72">
        <f t="shared" si="80"/>
        <v>250000</v>
      </c>
      <c r="Z285" s="72">
        <f t="shared" si="80"/>
        <v>131004.8</v>
      </c>
      <c r="AA285" s="72">
        <f t="shared" si="80"/>
        <v>0</v>
      </c>
      <c r="AB285" s="66" t="s">
        <v>423</v>
      </c>
      <c r="AC285" s="66" t="s">
        <v>423</v>
      </c>
      <c r="AD285" s="66" t="s">
        <v>423</v>
      </c>
    </row>
    <row r="286" spans="1:30" x14ac:dyDescent="0.3">
      <c r="A286">
        <v>1</v>
      </c>
      <c r="B286" s="68">
        <f>SUBTOTAL(9,$A$189:A286)</f>
        <v>90</v>
      </c>
      <c r="C286" s="73" t="s">
        <v>378</v>
      </c>
      <c r="D286" s="79" t="s">
        <v>611</v>
      </c>
      <c r="E286" s="65">
        <f>F286+G286+H286+I286+J286+K286+M286+O286+Q286+S286+U286+V286+W286+X286+Z286+AA286+Y286</f>
        <v>9114658.1800000016</v>
      </c>
      <c r="F286" s="77">
        <v>0</v>
      </c>
      <c r="G286" s="77">
        <v>0</v>
      </c>
      <c r="H286" s="77">
        <v>0</v>
      </c>
      <c r="I286" s="77">
        <v>0</v>
      </c>
      <c r="J286" s="77">
        <v>0</v>
      </c>
      <c r="K286" s="77">
        <v>0</v>
      </c>
      <c r="L286" s="155">
        <v>0</v>
      </c>
      <c r="M286" s="77">
        <v>0</v>
      </c>
      <c r="N286" s="77">
        <v>718</v>
      </c>
      <c r="O286" s="77">
        <v>8733653.3800000008</v>
      </c>
      <c r="P286" s="77">
        <v>0</v>
      </c>
      <c r="Q286" s="77">
        <v>0</v>
      </c>
      <c r="R286" s="77">
        <v>0</v>
      </c>
      <c r="S286" s="77">
        <v>0</v>
      </c>
      <c r="T286" s="77">
        <v>0</v>
      </c>
      <c r="U286" s="77">
        <v>0</v>
      </c>
      <c r="V286" s="77">
        <v>0</v>
      </c>
      <c r="W286" s="77">
        <v>0</v>
      </c>
      <c r="X286" s="77">
        <v>0</v>
      </c>
      <c r="Y286" s="77">
        <v>250000</v>
      </c>
      <c r="Z286" s="77">
        <f>ROUND(O286*1.5%,2)</f>
        <v>131004.8</v>
      </c>
      <c r="AA286" s="77">
        <v>0</v>
      </c>
      <c r="AB286" s="70">
        <v>2027</v>
      </c>
      <c r="AC286" s="70">
        <v>2027</v>
      </c>
      <c r="AD286" s="70">
        <v>2027</v>
      </c>
    </row>
    <row r="287" spans="1:30" x14ac:dyDescent="0.3">
      <c r="B287" s="67" t="s">
        <v>505</v>
      </c>
      <c r="C287" s="67"/>
      <c r="D287" s="87"/>
      <c r="E287" s="72">
        <f>E288</f>
        <v>13227679.42</v>
      </c>
      <c r="F287" s="72">
        <f t="shared" ref="F287:AA287" si="81">F288</f>
        <v>0</v>
      </c>
      <c r="G287" s="72">
        <f t="shared" si="81"/>
        <v>0</v>
      </c>
      <c r="H287" s="72">
        <f t="shared" si="81"/>
        <v>0</v>
      </c>
      <c r="I287" s="72">
        <f t="shared" si="81"/>
        <v>0</v>
      </c>
      <c r="J287" s="72">
        <f t="shared" si="81"/>
        <v>0</v>
      </c>
      <c r="K287" s="72">
        <f t="shared" si="81"/>
        <v>0</v>
      </c>
      <c r="L287" s="156">
        <f t="shared" si="81"/>
        <v>0</v>
      </c>
      <c r="M287" s="72">
        <f t="shared" si="81"/>
        <v>0</v>
      </c>
      <c r="N287" s="72">
        <f t="shared" si="81"/>
        <v>1042</v>
      </c>
      <c r="O287" s="72">
        <f t="shared" si="81"/>
        <v>12736629.970000001</v>
      </c>
      <c r="P287" s="72">
        <f t="shared" si="81"/>
        <v>0</v>
      </c>
      <c r="Q287" s="72">
        <f t="shared" si="81"/>
        <v>0</v>
      </c>
      <c r="R287" s="72">
        <f t="shared" si="81"/>
        <v>0</v>
      </c>
      <c r="S287" s="72">
        <f t="shared" si="81"/>
        <v>0</v>
      </c>
      <c r="T287" s="72">
        <f t="shared" si="81"/>
        <v>0</v>
      </c>
      <c r="U287" s="72">
        <f t="shared" si="81"/>
        <v>0</v>
      </c>
      <c r="V287" s="72">
        <f t="shared" si="81"/>
        <v>0</v>
      </c>
      <c r="W287" s="72">
        <f t="shared" si="81"/>
        <v>0</v>
      </c>
      <c r="X287" s="72">
        <f t="shared" si="81"/>
        <v>0</v>
      </c>
      <c r="Y287" s="72">
        <f t="shared" si="81"/>
        <v>300000</v>
      </c>
      <c r="Z287" s="72">
        <f t="shared" si="81"/>
        <v>191049.45</v>
      </c>
      <c r="AA287" s="72">
        <f t="shared" si="81"/>
        <v>0</v>
      </c>
      <c r="AB287" s="66" t="s">
        <v>423</v>
      </c>
      <c r="AC287" s="66" t="s">
        <v>423</v>
      </c>
      <c r="AD287" s="66" t="s">
        <v>423</v>
      </c>
    </row>
    <row r="288" spans="1:30" x14ac:dyDescent="0.3">
      <c r="A288">
        <v>1</v>
      </c>
      <c r="B288" s="68">
        <f>SUBTOTAL(9,$A$189:A288)</f>
        <v>91</v>
      </c>
      <c r="C288" s="73" t="s">
        <v>370</v>
      </c>
      <c r="D288" s="79" t="s">
        <v>611</v>
      </c>
      <c r="E288" s="65">
        <f>F288+G288+H288+I288+J288+K288+M288+O288+Q288+S288+U288+V288+W288+X288+Z288+AA288+Y288</f>
        <v>13227679.42</v>
      </c>
      <c r="F288" s="77">
        <v>0</v>
      </c>
      <c r="G288" s="77">
        <v>0</v>
      </c>
      <c r="H288" s="77">
        <v>0</v>
      </c>
      <c r="I288" s="77">
        <v>0</v>
      </c>
      <c r="J288" s="77">
        <v>0</v>
      </c>
      <c r="K288" s="77">
        <v>0</v>
      </c>
      <c r="L288" s="155">
        <v>0</v>
      </c>
      <c r="M288" s="77">
        <v>0</v>
      </c>
      <c r="N288" s="77">
        <v>1042</v>
      </c>
      <c r="O288" s="77">
        <v>12736629.970000001</v>
      </c>
      <c r="P288" s="77">
        <v>0</v>
      </c>
      <c r="Q288" s="77">
        <v>0</v>
      </c>
      <c r="R288" s="77">
        <v>0</v>
      </c>
      <c r="S288" s="77">
        <v>0</v>
      </c>
      <c r="T288" s="77">
        <v>0</v>
      </c>
      <c r="U288" s="77">
        <v>0</v>
      </c>
      <c r="V288" s="77">
        <v>0</v>
      </c>
      <c r="W288" s="77">
        <v>0</v>
      </c>
      <c r="X288" s="77">
        <v>0</v>
      </c>
      <c r="Y288" s="77">
        <v>300000</v>
      </c>
      <c r="Z288" s="77">
        <f>ROUND(O288*1.5%,2)</f>
        <v>191049.45</v>
      </c>
      <c r="AA288" s="77">
        <v>0</v>
      </c>
      <c r="AB288" s="70">
        <v>2027</v>
      </c>
      <c r="AC288" s="70">
        <v>2027</v>
      </c>
      <c r="AD288" s="70">
        <v>2027</v>
      </c>
    </row>
    <row r="289" spans="1:30" x14ac:dyDescent="0.3">
      <c r="B289" s="67" t="s">
        <v>504</v>
      </c>
      <c r="C289" s="67"/>
      <c r="D289" s="87"/>
      <c r="E289" s="72">
        <f>E290</f>
        <v>8307287.3399999999</v>
      </c>
      <c r="F289" s="72">
        <f t="shared" ref="F289:AA289" si="82">F290</f>
        <v>0</v>
      </c>
      <c r="G289" s="72">
        <f t="shared" si="82"/>
        <v>0</v>
      </c>
      <c r="H289" s="72">
        <f t="shared" si="82"/>
        <v>0</v>
      </c>
      <c r="I289" s="72">
        <f t="shared" si="82"/>
        <v>0</v>
      </c>
      <c r="J289" s="72">
        <f t="shared" si="82"/>
        <v>0</v>
      </c>
      <c r="K289" s="72">
        <f t="shared" si="82"/>
        <v>0</v>
      </c>
      <c r="L289" s="156">
        <f t="shared" si="82"/>
        <v>0</v>
      </c>
      <c r="M289" s="72">
        <f t="shared" si="82"/>
        <v>0</v>
      </c>
      <c r="N289" s="72">
        <f t="shared" si="82"/>
        <v>654.4</v>
      </c>
      <c r="O289" s="72">
        <f t="shared" si="82"/>
        <v>7938214.1299999999</v>
      </c>
      <c r="P289" s="72">
        <f t="shared" si="82"/>
        <v>0</v>
      </c>
      <c r="Q289" s="72">
        <f t="shared" si="82"/>
        <v>0</v>
      </c>
      <c r="R289" s="72">
        <f t="shared" si="82"/>
        <v>0</v>
      </c>
      <c r="S289" s="72">
        <f t="shared" si="82"/>
        <v>0</v>
      </c>
      <c r="T289" s="72">
        <f t="shared" si="82"/>
        <v>0</v>
      </c>
      <c r="U289" s="72">
        <f t="shared" si="82"/>
        <v>0</v>
      </c>
      <c r="V289" s="72">
        <f t="shared" si="82"/>
        <v>0</v>
      </c>
      <c r="W289" s="72">
        <f t="shared" si="82"/>
        <v>0</v>
      </c>
      <c r="X289" s="72">
        <f t="shared" si="82"/>
        <v>0</v>
      </c>
      <c r="Y289" s="72">
        <f t="shared" si="82"/>
        <v>250000</v>
      </c>
      <c r="Z289" s="72">
        <f t="shared" si="82"/>
        <v>119073.21</v>
      </c>
      <c r="AA289" s="72">
        <f t="shared" si="82"/>
        <v>0</v>
      </c>
      <c r="AB289" s="66" t="s">
        <v>423</v>
      </c>
      <c r="AC289" s="66" t="s">
        <v>423</v>
      </c>
      <c r="AD289" s="66" t="s">
        <v>423</v>
      </c>
    </row>
    <row r="290" spans="1:30" x14ac:dyDescent="0.3">
      <c r="A290">
        <v>1</v>
      </c>
      <c r="B290" s="68">
        <f>SUBTOTAL(9,$A$189:A290)</f>
        <v>92</v>
      </c>
      <c r="C290" s="73" t="s">
        <v>377</v>
      </c>
      <c r="D290" s="79" t="s">
        <v>611</v>
      </c>
      <c r="E290" s="65">
        <f>F290+G290+H290+I290+J290+K290+M290+O290+Q290+S290+U290+V290+W290+X290+Z290+AA290+Y290</f>
        <v>8307287.3399999999</v>
      </c>
      <c r="F290" s="77">
        <v>0</v>
      </c>
      <c r="G290" s="77">
        <v>0</v>
      </c>
      <c r="H290" s="77">
        <v>0</v>
      </c>
      <c r="I290" s="77">
        <v>0</v>
      </c>
      <c r="J290" s="77">
        <v>0</v>
      </c>
      <c r="K290" s="77">
        <v>0</v>
      </c>
      <c r="L290" s="155">
        <v>0</v>
      </c>
      <c r="M290" s="77">
        <v>0</v>
      </c>
      <c r="N290" s="77">
        <v>654.4</v>
      </c>
      <c r="O290" s="77">
        <v>7938214.1299999999</v>
      </c>
      <c r="P290" s="77">
        <v>0</v>
      </c>
      <c r="Q290" s="77">
        <v>0</v>
      </c>
      <c r="R290" s="77">
        <v>0</v>
      </c>
      <c r="S290" s="77">
        <v>0</v>
      </c>
      <c r="T290" s="77">
        <v>0</v>
      </c>
      <c r="U290" s="77">
        <v>0</v>
      </c>
      <c r="V290" s="77">
        <v>0</v>
      </c>
      <c r="W290" s="77">
        <v>0</v>
      </c>
      <c r="X290" s="77">
        <v>0</v>
      </c>
      <c r="Y290" s="77">
        <v>250000</v>
      </c>
      <c r="Z290" s="77">
        <f>ROUND(O290*1.5%,2)</f>
        <v>119073.21</v>
      </c>
      <c r="AA290" s="77">
        <v>0</v>
      </c>
      <c r="AB290" s="70">
        <v>2027</v>
      </c>
      <c r="AC290" s="70">
        <v>2027</v>
      </c>
      <c r="AD290" s="70">
        <v>2027</v>
      </c>
    </row>
    <row r="291" spans="1:30" x14ac:dyDescent="0.3">
      <c r="B291" s="62" t="s">
        <v>692</v>
      </c>
      <c r="C291" s="63"/>
      <c r="D291" s="64"/>
      <c r="E291" s="65">
        <f>E292+E293</f>
        <v>41965438.079999998</v>
      </c>
      <c r="F291" s="65">
        <f t="shared" ref="F291:AA291" si="83">F292+F293</f>
        <v>0</v>
      </c>
      <c r="G291" s="65">
        <f t="shared" si="83"/>
        <v>0</v>
      </c>
      <c r="H291" s="65">
        <f t="shared" si="83"/>
        <v>0</v>
      </c>
      <c r="I291" s="65">
        <f t="shared" si="83"/>
        <v>0</v>
      </c>
      <c r="J291" s="65">
        <f t="shared" si="83"/>
        <v>0</v>
      </c>
      <c r="K291" s="65">
        <f t="shared" si="83"/>
        <v>0</v>
      </c>
      <c r="L291" s="152">
        <f t="shared" si="83"/>
        <v>0</v>
      </c>
      <c r="M291" s="65">
        <f t="shared" si="83"/>
        <v>0</v>
      </c>
      <c r="N291" s="65">
        <f t="shared" si="83"/>
        <v>3316</v>
      </c>
      <c r="O291" s="65">
        <f t="shared" si="83"/>
        <v>40852648.350000001</v>
      </c>
      <c r="P291" s="65">
        <f t="shared" si="83"/>
        <v>0</v>
      </c>
      <c r="Q291" s="65">
        <f t="shared" si="83"/>
        <v>0</v>
      </c>
      <c r="R291" s="65">
        <f t="shared" si="83"/>
        <v>0</v>
      </c>
      <c r="S291" s="65">
        <f t="shared" si="83"/>
        <v>0</v>
      </c>
      <c r="T291" s="65">
        <f t="shared" si="83"/>
        <v>0</v>
      </c>
      <c r="U291" s="65">
        <f t="shared" si="83"/>
        <v>0</v>
      </c>
      <c r="V291" s="65">
        <f t="shared" si="83"/>
        <v>0</v>
      </c>
      <c r="W291" s="65">
        <f t="shared" si="83"/>
        <v>0</v>
      </c>
      <c r="X291" s="65">
        <f t="shared" si="83"/>
        <v>0</v>
      </c>
      <c r="Y291" s="65">
        <f t="shared" si="83"/>
        <v>500000</v>
      </c>
      <c r="Z291" s="65">
        <f t="shared" si="83"/>
        <v>612789.73</v>
      </c>
      <c r="AA291" s="65">
        <f t="shared" si="83"/>
        <v>0</v>
      </c>
      <c r="AB291" s="66" t="s">
        <v>423</v>
      </c>
      <c r="AC291" s="66" t="s">
        <v>423</v>
      </c>
      <c r="AD291" s="66" t="s">
        <v>423</v>
      </c>
    </row>
    <row r="292" spans="1:30" x14ac:dyDescent="0.3">
      <c r="A292">
        <v>1</v>
      </c>
      <c r="B292" s="68">
        <f>SUBTOTAL(9,$A$189:A292)</f>
        <v>93</v>
      </c>
      <c r="C292" s="73" t="s">
        <v>172</v>
      </c>
      <c r="D292" s="79" t="s">
        <v>612</v>
      </c>
      <c r="E292" s="65">
        <f t="shared" ref="E292:E293" si="84">F292+G292+H292+I292+J292+K292+M292+O292+Q292+S292+U292+V292+W292+X292+Z292+AA292+Y292</f>
        <v>18662824</v>
      </c>
      <c r="F292" s="72">
        <v>0</v>
      </c>
      <c r="G292" s="72">
        <v>0</v>
      </c>
      <c r="H292" s="72">
        <v>0</v>
      </c>
      <c r="I292" s="72">
        <v>0</v>
      </c>
      <c r="J292" s="72">
        <v>0</v>
      </c>
      <c r="K292" s="72">
        <v>0</v>
      </c>
      <c r="L292" s="156">
        <v>0</v>
      </c>
      <c r="M292" s="72">
        <v>0</v>
      </c>
      <c r="N292" s="72">
        <v>1443</v>
      </c>
      <c r="O292" s="72">
        <v>18140713.300000001</v>
      </c>
      <c r="P292" s="77">
        <v>0</v>
      </c>
      <c r="Q292" s="77">
        <v>0</v>
      </c>
      <c r="R292" s="77">
        <v>0</v>
      </c>
      <c r="S292" s="77">
        <v>0</v>
      </c>
      <c r="T292" s="77">
        <v>0</v>
      </c>
      <c r="U292" s="77">
        <v>0</v>
      </c>
      <c r="V292" s="77">
        <v>0</v>
      </c>
      <c r="W292" s="77">
        <v>0</v>
      </c>
      <c r="X292" s="77">
        <v>0</v>
      </c>
      <c r="Y292" s="77">
        <v>250000</v>
      </c>
      <c r="Z292" s="77">
        <f t="shared" ref="Z292:Z293" si="85">ROUND(O292*1.5%,2)</f>
        <v>272110.7</v>
      </c>
      <c r="AA292" s="77">
        <v>0</v>
      </c>
      <c r="AB292" s="70">
        <v>2027</v>
      </c>
      <c r="AC292" s="70">
        <v>2027</v>
      </c>
      <c r="AD292" s="70">
        <v>2027</v>
      </c>
    </row>
    <row r="293" spans="1:30" x14ac:dyDescent="0.3">
      <c r="A293">
        <v>1</v>
      </c>
      <c r="B293" s="68">
        <f>SUBTOTAL(9,$A$189:A293)</f>
        <v>94</v>
      </c>
      <c r="C293" s="73" t="s">
        <v>173</v>
      </c>
      <c r="D293" s="79" t="s">
        <v>612</v>
      </c>
      <c r="E293" s="65">
        <f t="shared" si="84"/>
        <v>23302614.080000002</v>
      </c>
      <c r="F293" s="72">
        <v>0</v>
      </c>
      <c r="G293" s="72">
        <v>0</v>
      </c>
      <c r="H293" s="72">
        <v>0</v>
      </c>
      <c r="I293" s="72">
        <v>0</v>
      </c>
      <c r="J293" s="72">
        <v>0</v>
      </c>
      <c r="K293" s="72">
        <v>0</v>
      </c>
      <c r="L293" s="156">
        <v>0</v>
      </c>
      <c r="M293" s="72">
        <v>0</v>
      </c>
      <c r="N293" s="72">
        <v>1873</v>
      </c>
      <c r="O293" s="72">
        <v>22711935.050000001</v>
      </c>
      <c r="P293" s="77">
        <v>0</v>
      </c>
      <c r="Q293" s="77">
        <v>0</v>
      </c>
      <c r="R293" s="77">
        <v>0</v>
      </c>
      <c r="S293" s="77">
        <v>0</v>
      </c>
      <c r="T293" s="77">
        <v>0</v>
      </c>
      <c r="U293" s="77">
        <v>0</v>
      </c>
      <c r="V293" s="77">
        <v>0</v>
      </c>
      <c r="W293" s="77">
        <v>0</v>
      </c>
      <c r="X293" s="77">
        <v>0</v>
      </c>
      <c r="Y293" s="77">
        <v>250000</v>
      </c>
      <c r="Z293" s="77">
        <f t="shared" si="85"/>
        <v>340679.03</v>
      </c>
      <c r="AA293" s="77">
        <v>0</v>
      </c>
      <c r="AB293" s="70">
        <v>2027</v>
      </c>
      <c r="AC293" s="70">
        <v>2027</v>
      </c>
      <c r="AD293" s="70">
        <v>2027</v>
      </c>
    </row>
    <row r="294" spans="1:30" x14ac:dyDescent="0.3">
      <c r="B294" s="62" t="s">
        <v>691</v>
      </c>
      <c r="C294" s="62"/>
      <c r="D294" s="86"/>
      <c r="E294" s="5">
        <f>E295+E296</f>
        <v>16945572.640000001</v>
      </c>
      <c r="F294" s="5">
        <f t="shared" ref="F294:AA294" si="86">F295+F296</f>
        <v>0</v>
      </c>
      <c r="G294" s="5">
        <f t="shared" si="86"/>
        <v>0</v>
      </c>
      <c r="H294" s="5">
        <f t="shared" si="86"/>
        <v>0</v>
      </c>
      <c r="I294" s="5">
        <f t="shared" si="86"/>
        <v>0</v>
      </c>
      <c r="J294" s="5">
        <f t="shared" si="86"/>
        <v>0</v>
      </c>
      <c r="K294" s="5">
        <f t="shared" si="86"/>
        <v>0</v>
      </c>
      <c r="L294" s="152">
        <f t="shared" si="86"/>
        <v>0</v>
      </c>
      <c r="M294" s="5">
        <f t="shared" si="86"/>
        <v>0</v>
      </c>
      <c r="N294" s="5">
        <f t="shared" si="86"/>
        <v>1293.5999999999999</v>
      </c>
      <c r="O294" s="5">
        <f t="shared" si="86"/>
        <v>16301056.789999999</v>
      </c>
      <c r="P294" s="5">
        <f t="shared" si="86"/>
        <v>0</v>
      </c>
      <c r="Q294" s="5">
        <f t="shared" si="86"/>
        <v>0</v>
      </c>
      <c r="R294" s="5">
        <f t="shared" si="86"/>
        <v>0</v>
      </c>
      <c r="S294" s="5">
        <f t="shared" si="86"/>
        <v>0</v>
      </c>
      <c r="T294" s="5">
        <f t="shared" si="86"/>
        <v>0</v>
      </c>
      <c r="U294" s="5">
        <f t="shared" si="86"/>
        <v>0</v>
      </c>
      <c r="V294" s="5">
        <f t="shared" si="86"/>
        <v>0</v>
      </c>
      <c r="W294" s="5">
        <f t="shared" si="86"/>
        <v>0</v>
      </c>
      <c r="X294" s="5">
        <f t="shared" si="86"/>
        <v>0</v>
      </c>
      <c r="Y294" s="5">
        <f t="shared" si="86"/>
        <v>400000</v>
      </c>
      <c r="Z294" s="5">
        <f t="shared" si="86"/>
        <v>244515.85</v>
      </c>
      <c r="AA294" s="5">
        <f t="shared" si="86"/>
        <v>0</v>
      </c>
      <c r="AB294" s="66" t="s">
        <v>423</v>
      </c>
      <c r="AC294" s="66" t="s">
        <v>423</v>
      </c>
      <c r="AD294" s="66" t="s">
        <v>423</v>
      </c>
    </row>
    <row r="295" spans="1:30" x14ac:dyDescent="0.3">
      <c r="A295">
        <v>1</v>
      </c>
      <c r="B295" s="68">
        <f>SUBTOTAL(9,$A$189:A295)</f>
        <v>95</v>
      </c>
      <c r="C295" s="73" t="s">
        <v>178</v>
      </c>
      <c r="D295" s="79" t="s">
        <v>613</v>
      </c>
      <c r="E295" s="65">
        <f>F295+G295+H295+I295+J295+K295+M295+O295+Q295+S295+U295+V295+W295+X295+Z295+AA295+Y295</f>
        <v>8505321.6999999993</v>
      </c>
      <c r="F295" s="77">
        <v>0</v>
      </c>
      <c r="G295" s="77">
        <v>0</v>
      </c>
      <c r="H295" s="77">
        <v>0</v>
      </c>
      <c r="I295" s="77">
        <v>0</v>
      </c>
      <c r="J295" s="77">
        <v>0</v>
      </c>
      <c r="K295" s="77">
        <v>0</v>
      </c>
      <c r="L295" s="155">
        <v>0</v>
      </c>
      <c r="M295" s="77">
        <v>0</v>
      </c>
      <c r="N295" s="72">
        <v>670</v>
      </c>
      <c r="O295" s="72">
        <v>8182582.96</v>
      </c>
      <c r="P295" s="77">
        <v>0</v>
      </c>
      <c r="Q295" s="77">
        <v>0</v>
      </c>
      <c r="R295" s="77">
        <v>0</v>
      </c>
      <c r="S295" s="77">
        <v>0</v>
      </c>
      <c r="T295" s="77">
        <v>0</v>
      </c>
      <c r="U295" s="77">
        <v>0</v>
      </c>
      <c r="V295" s="77">
        <v>0</v>
      </c>
      <c r="W295" s="77">
        <v>0</v>
      </c>
      <c r="X295" s="77">
        <v>0</v>
      </c>
      <c r="Y295" s="77">
        <v>200000</v>
      </c>
      <c r="Z295" s="77">
        <f>ROUND(O295*1.5%,2)</f>
        <v>122738.74</v>
      </c>
      <c r="AA295" s="77">
        <v>0</v>
      </c>
      <c r="AB295" s="70">
        <v>2027</v>
      </c>
      <c r="AC295" s="70">
        <v>2027</v>
      </c>
      <c r="AD295" s="70">
        <v>2027</v>
      </c>
    </row>
    <row r="296" spans="1:30" x14ac:dyDescent="0.3">
      <c r="A296">
        <v>1</v>
      </c>
      <c r="B296" s="68">
        <f>SUBTOTAL(9,$A$189:A296)</f>
        <v>96</v>
      </c>
      <c r="C296" s="73" t="s">
        <v>179</v>
      </c>
      <c r="D296" s="79" t="s">
        <v>613</v>
      </c>
      <c r="E296" s="65">
        <f>F296+G296+H296+I296+J296+K296+M296+O296+Q296+S296+U296+V296+W296+X296+Z296+AA296+Y296</f>
        <v>8440250.9400000013</v>
      </c>
      <c r="F296" s="77">
        <v>0</v>
      </c>
      <c r="G296" s="77">
        <v>0</v>
      </c>
      <c r="H296" s="77">
        <v>0</v>
      </c>
      <c r="I296" s="77">
        <v>0</v>
      </c>
      <c r="J296" s="77">
        <v>0</v>
      </c>
      <c r="K296" s="77">
        <v>0</v>
      </c>
      <c r="L296" s="155">
        <v>0</v>
      </c>
      <c r="M296" s="77">
        <v>0</v>
      </c>
      <c r="N296" s="72">
        <v>623.6</v>
      </c>
      <c r="O296" s="72">
        <v>8118473.8300000001</v>
      </c>
      <c r="P296" s="77">
        <v>0</v>
      </c>
      <c r="Q296" s="77">
        <v>0</v>
      </c>
      <c r="R296" s="77">
        <v>0</v>
      </c>
      <c r="S296" s="77">
        <v>0</v>
      </c>
      <c r="T296" s="77">
        <v>0</v>
      </c>
      <c r="U296" s="77">
        <v>0</v>
      </c>
      <c r="V296" s="77">
        <v>0</v>
      </c>
      <c r="W296" s="77">
        <v>0</v>
      </c>
      <c r="X296" s="77">
        <v>0</v>
      </c>
      <c r="Y296" s="77">
        <v>200000</v>
      </c>
      <c r="Z296" s="77">
        <f>ROUND(O296*1.5%,2)</f>
        <v>121777.11</v>
      </c>
      <c r="AA296" s="77">
        <v>0</v>
      </c>
      <c r="AB296" s="70">
        <v>2027</v>
      </c>
      <c r="AC296" s="70">
        <v>2027</v>
      </c>
      <c r="AD296" s="70">
        <v>2027</v>
      </c>
    </row>
    <row r="297" spans="1:30" x14ac:dyDescent="0.3">
      <c r="B297" s="62" t="s">
        <v>688</v>
      </c>
      <c r="C297" s="62"/>
      <c r="D297" s="86"/>
      <c r="E297" s="5">
        <f>E298</f>
        <v>7270971.0200000005</v>
      </c>
      <c r="F297" s="77">
        <f t="shared" ref="F297:AA297" si="87">F298</f>
        <v>0</v>
      </c>
      <c r="G297" s="77">
        <f t="shared" si="87"/>
        <v>0</v>
      </c>
      <c r="H297" s="77">
        <f t="shared" si="87"/>
        <v>0</v>
      </c>
      <c r="I297" s="77">
        <f t="shared" si="87"/>
        <v>0</v>
      </c>
      <c r="J297" s="77">
        <f t="shared" si="87"/>
        <v>0</v>
      </c>
      <c r="K297" s="77">
        <f t="shared" si="87"/>
        <v>0</v>
      </c>
      <c r="L297" s="155">
        <f t="shared" si="87"/>
        <v>0</v>
      </c>
      <c r="M297" s="77">
        <f t="shared" si="87"/>
        <v>0</v>
      </c>
      <c r="N297" s="77">
        <f t="shared" si="87"/>
        <v>572.76499999999999</v>
      </c>
      <c r="O297" s="77">
        <f t="shared" si="87"/>
        <v>6966473.9100000001</v>
      </c>
      <c r="P297" s="77">
        <f t="shared" si="87"/>
        <v>0</v>
      </c>
      <c r="Q297" s="77">
        <f t="shared" si="87"/>
        <v>0</v>
      </c>
      <c r="R297" s="77">
        <f t="shared" si="87"/>
        <v>0</v>
      </c>
      <c r="S297" s="77">
        <f t="shared" si="87"/>
        <v>0</v>
      </c>
      <c r="T297" s="77">
        <f t="shared" si="87"/>
        <v>0</v>
      </c>
      <c r="U297" s="77">
        <f t="shared" si="87"/>
        <v>0</v>
      </c>
      <c r="V297" s="77">
        <f t="shared" si="87"/>
        <v>0</v>
      </c>
      <c r="W297" s="77">
        <f t="shared" si="87"/>
        <v>0</v>
      </c>
      <c r="X297" s="77">
        <f t="shared" si="87"/>
        <v>0</v>
      </c>
      <c r="Y297" s="77">
        <f t="shared" si="87"/>
        <v>200000</v>
      </c>
      <c r="Z297" s="77">
        <f t="shared" si="87"/>
        <v>104497.11</v>
      </c>
      <c r="AA297" s="77">
        <f t="shared" si="87"/>
        <v>0</v>
      </c>
      <c r="AB297" s="66" t="s">
        <v>423</v>
      </c>
      <c r="AC297" s="66" t="s">
        <v>423</v>
      </c>
      <c r="AD297" s="66" t="s">
        <v>423</v>
      </c>
    </row>
    <row r="298" spans="1:30" x14ac:dyDescent="0.3">
      <c r="A298">
        <v>1</v>
      </c>
      <c r="B298" s="68">
        <f>SUBTOTAL(9,$A$189:A298)</f>
        <v>97</v>
      </c>
      <c r="C298" s="73" t="s">
        <v>183</v>
      </c>
      <c r="D298" s="79" t="s">
        <v>614</v>
      </c>
      <c r="E298" s="65">
        <f>F298+G298+H298+I298+J298+K298+M298+O298+Q298+S298+U298+V298+W298+X298+Z298+AA298+Y298</f>
        <v>7270971.0200000005</v>
      </c>
      <c r="F298" s="77">
        <v>0</v>
      </c>
      <c r="G298" s="77">
        <v>0</v>
      </c>
      <c r="H298" s="77">
        <v>0</v>
      </c>
      <c r="I298" s="77">
        <v>0</v>
      </c>
      <c r="J298" s="77">
        <v>0</v>
      </c>
      <c r="K298" s="77">
        <v>0</v>
      </c>
      <c r="L298" s="155">
        <v>0</v>
      </c>
      <c r="M298" s="77">
        <v>0</v>
      </c>
      <c r="N298" s="72">
        <v>572.76499999999999</v>
      </c>
      <c r="O298" s="72">
        <v>6966473.9100000001</v>
      </c>
      <c r="P298" s="77">
        <v>0</v>
      </c>
      <c r="Q298" s="77">
        <v>0</v>
      </c>
      <c r="R298" s="77">
        <v>0</v>
      </c>
      <c r="S298" s="77">
        <v>0</v>
      </c>
      <c r="T298" s="77">
        <v>0</v>
      </c>
      <c r="U298" s="77">
        <v>0</v>
      </c>
      <c r="V298" s="77">
        <v>0</v>
      </c>
      <c r="W298" s="77">
        <v>0</v>
      </c>
      <c r="X298" s="77">
        <v>0</v>
      </c>
      <c r="Y298" s="77">
        <v>200000</v>
      </c>
      <c r="Z298" s="77">
        <f>ROUND(O298*1.5%,2)</f>
        <v>104497.11</v>
      </c>
      <c r="AA298" s="77">
        <v>0</v>
      </c>
      <c r="AB298" s="70">
        <v>2027</v>
      </c>
      <c r="AC298" s="70">
        <v>2027</v>
      </c>
      <c r="AD298" s="70">
        <v>2027</v>
      </c>
    </row>
    <row r="299" spans="1:30" x14ac:dyDescent="0.3">
      <c r="B299" s="62" t="s">
        <v>694</v>
      </c>
      <c r="C299" s="62"/>
      <c r="D299" s="86"/>
      <c r="E299" s="5">
        <f>SUM(E300:E304)</f>
        <v>61795681.159999996</v>
      </c>
      <c r="F299" s="5">
        <f t="shared" ref="F299:AA299" si="88">SUM(F300:F304)</f>
        <v>0</v>
      </c>
      <c r="G299" s="5">
        <f t="shared" si="88"/>
        <v>0</v>
      </c>
      <c r="H299" s="5">
        <f t="shared" si="88"/>
        <v>0</v>
      </c>
      <c r="I299" s="5">
        <f t="shared" si="88"/>
        <v>0</v>
      </c>
      <c r="J299" s="5">
        <f t="shared" si="88"/>
        <v>0</v>
      </c>
      <c r="K299" s="5">
        <f t="shared" si="88"/>
        <v>0</v>
      </c>
      <c r="L299" s="62">
        <f t="shared" si="88"/>
        <v>0</v>
      </c>
      <c r="M299" s="5">
        <f t="shared" si="88"/>
        <v>0</v>
      </c>
      <c r="N299" s="5">
        <f t="shared" si="88"/>
        <v>4850.7299999999996</v>
      </c>
      <c r="O299" s="5">
        <f t="shared" si="88"/>
        <v>59897222.810000002</v>
      </c>
      <c r="P299" s="5">
        <f t="shared" si="88"/>
        <v>0</v>
      </c>
      <c r="Q299" s="5">
        <f t="shared" si="88"/>
        <v>0</v>
      </c>
      <c r="R299" s="5">
        <f t="shared" si="88"/>
        <v>0</v>
      </c>
      <c r="S299" s="5">
        <f t="shared" si="88"/>
        <v>0</v>
      </c>
      <c r="T299" s="5">
        <f t="shared" si="88"/>
        <v>0</v>
      </c>
      <c r="U299" s="5">
        <f t="shared" si="88"/>
        <v>0</v>
      </c>
      <c r="V299" s="5">
        <f t="shared" si="88"/>
        <v>0</v>
      </c>
      <c r="W299" s="5">
        <f t="shared" si="88"/>
        <v>0</v>
      </c>
      <c r="X299" s="5">
        <f t="shared" si="88"/>
        <v>0</v>
      </c>
      <c r="Y299" s="5">
        <f t="shared" si="88"/>
        <v>1000000</v>
      </c>
      <c r="Z299" s="5">
        <f t="shared" si="88"/>
        <v>898458.35000000009</v>
      </c>
      <c r="AA299" s="5">
        <f t="shared" si="88"/>
        <v>0</v>
      </c>
      <c r="AB299" s="66" t="s">
        <v>423</v>
      </c>
      <c r="AC299" s="66" t="s">
        <v>423</v>
      </c>
      <c r="AD299" s="66" t="s">
        <v>423</v>
      </c>
    </row>
    <row r="300" spans="1:30" x14ac:dyDescent="0.3">
      <c r="A300">
        <v>1</v>
      </c>
      <c r="B300" s="68">
        <f>SUBTOTAL(9,$A$189:A300)</f>
        <v>98</v>
      </c>
      <c r="C300" s="73" t="s">
        <v>187</v>
      </c>
      <c r="D300" s="79" t="s">
        <v>615</v>
      </c>
      <c r="E300" s="65">
        <f t="shared" ref="E300:E303" si="89">F300+G300+H300+I300+J300+K300+M300+O300+Q300+S300+U300+V300+W300+X300+Z300+AA300+Y300</f>
        <v>13542503.27</v>
      </c>
      <c r="F300" s="77">
        <v>0</v>
      </c>
      <c r="G300" s="77">
        <v>0</v>
      </c>
      <c r="H300" s="77">
        <v>0</v>
      </c>
      <c r="I300" s="77">
        <v>0</v>
      </c>
      <c r="J300" s="77">
        <v>0</v>
      </c>
      <c r="K300" s="77">
        <v>0</v>
      </c>
      <c r="L300" s="155">
        <v>0</v>
      </c>
      <c r="M300" s="77">
        <v>0</v>
      </c>
      <c r="N300" s="72">
        <v>1066.8</v>
      </c>
      <c r="O300" s="72">
        <v>13145323.42</v>
      </c>
      <c r="P300" s="77">
        <v>0</v>
      </c>
      <c r="Q300" s="77">
        <v>0</v>
      </c>
      <c r="R300" s="77">
        <v>0</v>
      </c>
      <c r="S300" s="77">
        <v>0</v>
      </c>
      <c r="T300" s="77">
        <v>0</v>
      </c>
      <c r="U300" s="77">
        <v>0</v>
      </c>
      <c r="V300" s="77">
        <v>0</v>
      </c>
      <c r="W300" s="77">
        <v>0</v>
      </c>
      <c r="X300" s="77">
        <v>0</v>
      </c>
      <c r="Y300" s="77">
        <v>200000</v>
      </c>
      <c r="Z300" s="77">
        <f t="shared" ref="Z300:Z303" si="90">ROUND(O300*1.5%,2)</f>
        <v>197179.85</v>
      </c>
      <c r="AA300" s="77">
        <v>0</v>
      </c>
      <c r="AB300" s="70">
        <v>2027</v>
      </c>
      <c r="AC300" s="70">
        <v>2027</v>
      </c>
      <c r="AD300" s="70">
        <v>2027</v>
      </c>
    </row>
    <row r="301" spans="1:30" x14ac:dyDescent="0.3">
      <c r="A301">
        <v>1</v>
      </c>
      <c r="B301" s="68">
        <f>SUBTOTAL(9,$A$189:A301)</f>
        <v>99</v>
      </c>
      <c r="C301" s="73" t="s">
        <v>188</v>
      </c>
      <c r="D301" s="79" t="s">
        <v>615</v>
      </c>
      <c r="E301" s="65">
        <f t="shared" si="89"/>
        <v>13840824.25</v>
      </c>
      <c r="F301" s="77">
        <v>0</v>
      </c>
      <c r="G301" s="77">
        <v>0</v>
      </c>
      <c r="H301" s="77">
        <v>0</v>
      </c>
      <c r="I301" s="77">
        <v>0</v>
      </c>
      <c r="J301" s="77">
        <v>0</v>
      </c>
      <c r="K301" s="77">
        <v>0</v>
      </c>
      <c r="L301" s="155">
        <v>0</v>
      </c>
      <c r="M301" s="77">
        <v>0</v>
      </c>
      <c r="N301" s="72">
        <v>1090.3</v>
      </c>
      <c r="O301" s="72">
        <v>13439235.710000001</v>
      </c>
      <c r="P301" s="77">
        <v>0</v>
      </c>
      <c r="Q301" s="77">
        <v>0</v>
      </c>
      <c r="R301" s="77">
        <v>0</v>
      </c>
      <c r="S301" s="77">
        <v>0</v>
      </c>
      <c r="T301" s="77">
        <v>0</v>
      </c>
      <c r="U301" s="77">
        <v>0</v>
      </c>
      <c r="V301" s="77">
        <v>0</v>
      </c>
      <c r="W301" s="77">
        <v>0</v>
      </c>
      <c r="X301" s="77">
        <v>0</v>
      </c>
      <c r="Y301" s="77">
        <v>200000</v>
      </c>
      <c r="Z301" s="77">
        <f t="shared" si="90"/>
        <v>201588.54</v>
      </c>
      <c r="AA301" s="77">
        <v>0</v>
      </c>
      <c r="AB301" s="70">
        <v>2027</v>
      </c>
      <c r="AC301" s="70">
        <v>2027</v>
      </c>
      <c r="AD301" s="70">
        <v>2027</v>
      </c>
    </row>
    <row r="302" spans="1:30" x14ac:dyDescent="0.3">
      <c r="A302">
        <v>1</v>
      </c>
      <c r="B302" s="68">
        <f>SUBTOTAL(9,$A$189:A302)</f>
        <v>100</v>
      </c>
      <c r="C302" s="73" t="s">
        <v>189</v>
      </c>
      <c r="D302" s="79" t="s">
        <v>615</v>
      </c>
      <c r="E302" s="65">
        <f t="shared" si="89"/>
        <v>11024293.32</v>
      </c>
      <c r="F302" s="77">
        <v>0</v>
      </c>
      <c r="G302" s="77">
        <v>0</v>
      </c>
      <c r="H302" s="77">
        <v>0</v>
      </c>
      <c r="I302" s="77">
        <v>0</v>
      </c>
      <c r="J302" s="77">
        <v>0</v>
      </c>
      <c r="K302" s="77">
        <v>0</v>
      </c>
      <c r="L302" s="155">
        <v>0</v>
      </c>
      <c r="M302" s="77">
        <v>0</v>
      </c>
      <c r="N302" s="72">
        <v>868.43</v>
      </c>
      <c r="O302" s="72">
        <v>10664328.390000001</v>
      </c>
      <c r="P302" s="77">
        <v>0</v>
      </c>
      <c r="Q302" s="77">
        <v>0</v>
      </c>
      <c r="R302" s="77">
        <v>0</v>
      </c>
      <c r="S302" s="77">
        <v>0</v>
      </c>
      <c r="T302" s="77">
        <v>0</v>
      </c>
      <c r="U302" s="77">
        <v>0</v>
      </c>
      <c r="V302" s="77">
        <v>0</v>
      </c>
      <c r="W302" s="77">
        <v>0</v>
      </c>
      <c r="X302" s="77">
        <v>0</v>
      </c>
      <c r="Y302" s="77">
        <v>200000</v>
      </c>
      <c r="Z302" s="77">
        <f t="shared" si="90"/>
        <v>159964.93</v>
      </c>
      <c r="AA302" s="77">
        <v>0</v>
      </c>
      <c r="AB302" s="70">
        <v>2027</v>
      </c>
      <c r="AC302" s="70">
        <v>2027</v>
      </c>
      <c r="AD302" s="70">
        <v>2027</v>
      </c>
    </row>
    <row r="303" spans="1:30" x14ac:dyDescent="0.3">
      <c r="A303">
        <v>1</v>
      </c>
      <c r="B303" s="68">
        <f>SUBTOTAL(9,$A$189:A303)</f>
        <v>101</v>
      </c>
      <c r="C303" s="73" t="s">
        <v>190</v>
      </c>
      <c r="D303" s="79" t="s">
        <v>615</v>
      </c>
      <c r="E303" s="65">
        <f t="shared" si="89"/>
        <v>19198872.02</v>
      </c>
      <c r="F303" s="77">
        <v>0</v>
      </c>
      <c r="G303" s="77">
        <v>0</v>
      </c>
      <c r="H303" s="77">
        <v>0</v>
      </c>
      <c r="I303" s="77">
        <v>0</v>
      </c>
      <c r="J303" s="77">
        <v>0</v>
      </c>
      <c r="K303" s="77">
        <v>0</v>
      </c>
      <c r="L303" s="155">
        <v>0</v>
      </c>
      <c r="M303" s="77">
        <v>0</v>
      </c>
      <c r="N303" s="71">
        <v>1495.2</v>
      </c>
      <c r="O303" s="72">
        <v>18668839.43</v>
      </c>
      <c r="P303" s="77">
        <v>0</v>
      </c>
      <c r="Q303" s="77">
        <v>0</v>
      </c>
      <c r="R303" s="77">
        <v>0</v>
      </c>
      <c r="S303" s="77">
        <v>0</v>
      </c>
      <c r="T303" s="77">
        <v>0</v>
      </c>
      <c r="U303" s="77">
        <v>0</v>
      </c>
      <c r="V303" s="77">
        <v>0</v>
      </c>
      <c r="W303" s="77">
        <v>0</v>
      </c>
      <c r="X303" s="77">
        <v>0</v>
      </c>
      <c r="Y303" s="77">
        <v>250000</v>
      </c>
      <c r="Z303" s="77">
        <f t="shared" si="90"/>
        <v>280032.59000000003</v>
      </c>
      <c r="AA303" s="77">
        <v>0</v>
      </c>
      <c r="AB303" s="70">
        <v>2027</v>
      </c>
      <c r="AC303" s="70">
        <v>2027</v>
      </c>
      <c r="AD303" s="70">
        <v>2027</v>
      </c>
    </row>
    <row r="304" spans="1:30" x14ac:dyDescent="0.3">
      <c r="A304">
        <v>1</v>
      </c>
      <c r="B304" s="68">
        <f>SUBTOTAL(9,$A$189:A304)</f>
        <v>102</v>
      </c>
      <c r="C304" s="73" t="s">
        <v>191</v>
      </c>
      <c r="D304" s="79" t="s">
        <v>615</v>
      </c>
      <c r="E304" s="65">
        <f>F304+G304+H304+I304+J304+K304+M304+O304+Q304+S304+U304+V304+W304+X304+Z304+AA304+Y304</f>
        <v>4189188.3</v>
      </c>
      <c r="F304" s="77">
        <v>0</v>
      </c>
      <c r="G304" s="77">
        <v>0</v>
      </c>
      <c r="H304" s="77">
        <v>0</v>
      </c>
      <c r="I304" s="77">
        <v>0</v>
      </c>
      <c r="J304" s="77">
        <v>0</v>
      </c>
      <c r="K304" s="77">
        <v>0</v>
      </c>
      <c r="L304" s="155">
        <v>0</v>
      </c>
      <c r="M304" s="77">
        <v>0</v>
      </c>
      <c r="N304" s="72">
        <v>330</v>
      </c>
      <c r="O304" s="72">
        <v>3979495.86</v>
      </c>
      <c r="P304" s="77">
        <v>0</v>
      </c>
      <c r="Q304" s="77">
        <v>0</v>
      </c>
      <c r="R304" s="77">
        <v>0</v>
      </c>
      <c r="S304" s="77">
        <v>0</v>
      </c>
      <c r="T304" s="77">
        <v>0</v>
      </c>
      <c r="U304" s="77">
        <v>0</v>
      </c>
      <c r="V304" s="77">
        <v>0</v>
      </c>
      <c r="W304" s="77">
        <v>0</v>
      </c>
      <c r="X304" s="77">
        <v>0</v>
      </c>
      <c r="Y304" s="77">
        <v>150000</v>
      </c>
      <c r="Z304" s="77">
        <f>ROUND(O304*1.5%,2)</f>
        <v>59692.44</v>
      </c>
      <c r="AA304" s="77">
        <v>0</v>
      </c>
      <c r="AB304" s="70">
        <v>2027</v>
      </c>
      <c r="AC304" s="70">
        <v>2027</v>
      </c>
      <c r="AD304" s="70">
        <v>2027</v>
      </c>
    </row>
    <row r="305" spans="1:30" x14ac:dyDescent="0.3">
      <c r="B305" s="62" t="s">
        <v>699</v>
      </c>
      <c r="C305" s="62"/>
      <c r="D305" s="86"/>
      <c r="E305" s="5">
        <f>E306+E307+E308</f>
        <v>31395610.529999997</v>
      </c>
      <c r="F305" s="5">
        <f t="shared" ref="F305:AA305" si="91">F306+F307+F308</f>
        <v>0</v>
      </c>
      <c r="G305" s="5">
        <f t="shared" si="91"/>
        <v>0</v>
      </c>
      <c r="H305" s="5">
        <f t="shared" si="91"/>
        <v>0</v>
      </c>
      <c r="I305" s="5">
        <f t="shared" si="91"/>
        <v>0</v>
      </c>
      <c r="J305" s="5">
        <f t="shared" si="91"/>
        <v>0</v>
      </c>
      <c r="K305" s="5">
        <f t="shared" si="91"/>
        <v>0</v>
      </c>
      <c r="L305" s="62">
        <f t="shared" si="91"/>
        <v>0</v>
      </c>
      <c r="M305" s="5">
        <f t="shared" si="91"/>
        <v>0</v>
      </c>
      <c r="N305" s="5">
        <f t="shared" si="91"/>
        <v>2458</v>
      </c>
      <c r="O305" s="5">
        <f t="shared" si="91"/>
        <v>30340502.979999997</v>
      </c>
      <c r="P305" s="5">
        <f t="shared" si="91"/>
        <v>0</v>
      </c>
      <c r="Q305" s="5">
        <f t="shared" si="91"/>
        <v>0</v>
      </c>
      <c r="R305" s="5">
        <f t="shared" si="91"/>
        <v>0</v>
      </c>
      <c r="S305" s="5">
        <f t="shared" si="91"/>
        <v>0</v>
      </c>
      <c r="T305" s="5">
        <f t="shared" si="91"/>
        <v>0</v>
      </c>
      <c r="U305" s="5">
        <f t="shared" si="91"/>
        <v>0</v>
      </c>
      <c r="V305" s="5">
        <f t="shared" si="91"/>
        <v>0</v>
      </c>
      <c r="W305" s="5">
        <f t="shared" si="91"/>
        <v>0</v>
      </c>
      <c r="X305" s="5">
        <f t="shared" si="91"/>
        <v>0</v>
      </c>
      <c r="Y305" s="5">
        <f t="shared" si="91"/>
        <v>600000</v>
      </c>
      <c r="Z305" s="5">
        <f t="shared" si="91"/>
        <v>455107.55000000005</v>
      </c>
      <c r="AA305" s="5">
        <f t="shared" si="91"/>
        <v>0</v>
      </c>
      <c r="AB305" s="66" t="s">
        <v>423</v>
      </c>
      <c r="AC305" s="66" t="s">
        <v>423</v>
      </c>
      <c r="AD305" s="66" t="s">
        <v>423</v>
      </c>
    </row>
    <row r="306" spans="1:30" x14ac:dyDescent="0.3">
      <c r="A306">
        <v>1</v>
      </c>
      <c r="B306" s="68">
        <f>SUBTOTAL(9,$A$189:A306)</f>
        <v>103</v>
      </c>
      <c r="C306" s="73" t="s">
        <v>202</v>
      </c>
      <c r="D306" s="79" t="s">
        <v>616</v>
      </c>
      <c r="E306" s="65">
        <f>F306+G306+H306+I306+J306+K306+M306+O306+Q306+S306+U306+V306+W306+X306+Z306+AA306+Y306</f>
        <v>12110562.539999999</v>
      </c>
      <c r="F306" s="77">
        <v>0</v>
      </c>
      <c r="G306" s="77">
        <v>0</v>
      </c>
      <c r="H306" s="77">
        <v>0</v>
      </c>
      <c r="I306" s="77">
        <v>0</v>
      </c>
      <c r="J306" s="77">
        <v>0</v>
      </c>
      <c r="K306" s="77">
        <v>0</v>
      </c>
      <c r="L306" s="155">
        <v>0</v>
      </c>
      <c r="M306" s="77">
        <v>0</v>
      </c>
      <c r="N306" s="71">
        <v>954</v>
      </c>
      <c r="O306" s="72">
        <v>11734544.369999999</v>
      </c>
      <c r="P306" s="77">
        <v>0</v>
      </c>
      <c r="Q306" s="77">
        <v>0</v>
      </c>
      <c r="R306" s="77">
        <v>0</v>
      </c>
      <c r="S306" s="77">
        <v>0</v>
      </c>
      <c r="T306" s="77">
        <v>0</v>
      </c>
      <c r="U306" s="77">
        <v>0</v>
      </c>
      <c r="V306" s="77">
        <v>0</v>
      </c>
      <c r="W306" s="77">
        <v>0</v>
      </c>
      <c r="X306" s="77">
        <v>0</v>
      </c>
      <c r="Y306" s="77">
        <v>200000</v>
      </c>
      <c r="Z306" s="77">
        <f>ROUND(O306*1.5%,2)</f>
        <v>176018.17</v>
      </c>
      <c r="AA306" s="77">
        <v>0</v>
      </c>
      <c r="AB306" s="70">
        <v>2027</v>
      </c>
      <c r="AC306" s="70">
        <v>2027</v>
      </c>
      <c r="AD306" s="70">
        <v>2027</v>
      </c>
    </row>
    <row r="307" spans="1:30" x14ac:dyDescent="0.3">
      <c r="A307">
        <v>1</v>
      </c>
      <c r="B307" s="68">
        <f>SUBTOTAL(9,$A$189:A307)</f>
        <v>104</v>
      </c>
      <c r="C307" s="73" t="s">
        <v>203</v>
      </c>
      <c r="D307" s="79" t="s">
        <v>616</v>
      </c>
      <c r="E307" s="65">
        <f>F307+G307+H307+I307+J307+K307+M307+O307+Q307+S307+U307+V307+W307+X307+Z307+AA307+Y307</f>
        <v>10424280.01</v>
      </c>
      <c r="F307" s="77">
        <v>0</v>
      </c>
      <c r="G307" s="77">
        <v>0</v>
      </c>
      <c r="H307" s="77">
        <v>0</v>
      </c>
      <c r="I307" s="77">
        <v>0</v>
      </c>
      <c r="J307" s="77">
        <v>0</v>
      </c>
      <c r="K307" s="77">
        <v>0</v>
      </c>
      <c r="L307" s="155">
        <v>0</v>
      </c>
      <c r="M307" s="77">
        <v>0</v>
      </c>
      <c r="N307" s="71">
        <v>806</v>
      </c>
      <c r="O307" s="72">
        <v>10073182.279999999</v>
      </c>
      <c r="P307" s="77">
        <v>0</v>
      </c>
      <c r="Q307" s="77">
        <v>0</v>
      </c>
      <c r="R307" s="77">
        <v>0</v>
      </c>
      <c r="S307" s="77">
        <v>0</v>
      </c>
      <c r="T307" s="77">
        <v>0</v>
      </c>
      <c r="U307" s="77">
        <v>0</v>
      </c>
      <c r="V307" s="77">
        <v>0</v>
      </c>
      <c r="W307" s="77">
        <v>0</v>
      </c>
      <c r="X307" s="77">
        <v>0</v>
      </c>
      <c r="Y307" s="77">
        <v>200000</v>
      </c>
      <c r="Z307" s="77">
        <f>ROUND(O307*1.5%,2)</f>
        <v>151097.73000000001</v>
      </c>
      <c r="AA307" s="77">
        <v>0</v>
      </c>
      <c r="AB307" s="70">
        <v>2027</v>
      </c>
      <c r="AC307" s="70">
        <v>2027</v>
      </c>
      <c r="AD307" s="70">
        <v>2027</v>
      </c>
    </row>
    <row r="308" spans="1:30" x14ac:dyDescent="0.3">
      <c r="A308">
        <v>1</v>
      </c>
      <c r="B308" s="68">
        <f>SUBTOTAL(9,$A$189:A308)</f>
        <v>105</v>
      </c>
      <c r="C308" s="73" t="s">
        <v>204</v>
      </c>
      <c r="D308" s="79" t="s">
        <v>616</v>
      </c>
      <c r="E308" s="65">
        <f>F308+G308+H308+I308+J308+K308+M308+O308+Q308+S308+U308+V308+W308+X308+Z308+AA308+Y308</f>
        <v>8860767.9800000004</v>
      </c>
      <c r="F308" s="77">
        <v>0</v>
      </c>
      <c r="G308" s="77">
        <v>0</v>
      </c>
      <c r="H308" s="77">
        <v>0</v>
      </c>
      <c r="I308" s="77">
        <v>0</v>
      </c>
      <c r="J308" s="77">
        <v>0</v>
      </c>
      <c r="K308" s="77">
        <v>0</v>
      </c>
      <c r="L308" s="155">
        <v>0</v>
      </c>
      <c r="M308" s="77">
        <v>0</v>
      </c>
      <c r="N308" s="71">
        <v>698</v>
      </c>
      <c r="O308" s="72">
        <v>8532776.3300000001</v>
      </c>
      <c r="P308" s="77">
        <v>0</v>
      </c>
      <c r="Q308" s="77">
        <v>0</v>
      </c>
      <c r="R308" s="77">
        <v>0</v>
      </c>
      <c r="S308" s="77">
        <v>0</v>
      </c>
      <c r="T308" s="77">
        <v>0</v>
      </c>
      <c r="U308" s="77">
        <v>0</v>
      </c>
      <c r="V308" s="77">
        <v>0</v>
      </c>
      <c r="W308" s="77">
        <v>0</v>
      </c>
      <c r="X308" s="77">
        <v>0</v>
      </c>
      <c r="Y308" s="77">
        <v>200000</v>
      </c>
      <c r="Z308" s="77">
        <f>ROUND(O308*1.5%,2)+0.01</f>
        <v>127991.65</v>
      </c>
      <c r="AA308" s="77">
        <v>0</v>
      </c>
      <c r="AB308" s="70">
        <v>2027</v>
      </c>
      <c r="AC308" s="70">
        <v>2027</v>
      </c>
      <c r="AD308" s="70">
        <v>2027</v>
      </c>
    </row>
    <row r="309" spans="1:30" x14ac:dyDescent="0.3">
      <c r="B309" s="62" t="s">
        <v>669</v>
      </c>
      <c r="C309" s="62"/>
      <c r="D309" s="86"/>
      <c r="E309" s="5">
        <f>SUM(E310:E311)</f>
        <v>12274100.550000001</v>
      </c>
      <c r="F309" s="77">
        <f t="shared" ref="F309:AA309" si="92">SUM(F310:F311)</f>
        <v>0</v>
      </c>
      <c r="G309" s="77">
        <f t="shared" si="92"/>
        <v>0</v>
      </c>
      <c r="H309" s="77">
        <f t="shared" si="92"/>
        <v>0</v>
      </c>
      <c r="I309" s="77">
        <f t="shared" si="92"/>
        <v>0</v>
      </c>
      <c r="J309" s="77">
        <f t="shared" si="92"/>
        <v>0</v>
      </c>
      <c r="K309" s="77">
        <f t="shared" si="92"/>
        <v>0</v>
      </c>
      <c r="L309" s="155">
        <f t="shared" si="92"/>
        <v>0</v>
      </c>
      <c r="M309" s="77">
        <f t="shared" si="92"/>
        <v>0</v>
      </c>
      <c r="N309" s="77">
        <f t="shared" si="92"/>
        <v>855</v>
      </c>
      <c r="O309" s="77">
        <f t="shared" si="92"/>
        <v>11698621.23</v>
      </c>
      <c r="P309" s="77">
        <f t="shared" si="92"/>
        <v>0</v>
      </c>
      <c r="Q309" s="77">
        <f t="shared" si="92"/>
        <v>0</v>
      </c>
      <c r="R309" s="77">
        <f t="shared" si="92"/>
        <v>0</v>
      </c>
      <c r="S309" s="77">
        <f t="shared" si="92"/>
        <v>0</v>
      </c>
      <c r="T309" s="77">
        <f t="shared" si="92"/>
        <v>0</v>
      </c>
      <c r="U309" s="77">
        <f t="shared" si="92"/>
        <v>0</v>
      </c>
      <c r="V309" s="77">
        <f t="shared" si="92"/>
        <v>0</v>
      </c>
      <c r="W309" s="77">
        <f t="shared" si="92"/>
        <v>0</v>
      </c>
      <c r="X309" s="77">
        <f t="shared" si="92"/>
        <v>0</v>
      </c>
      <c r="Y309" s="77">
        <f t="shared" si="92"/>
        <v>400000</v>
      </c>
      <c r="Z309" s="77">
        <f t="shared" si="92"/>
        <v>175479.32</v>
      </c>
      <c r="AA309" s="77">
        <f t="shared" si="92"/>
        <v>0</v>
      </c>
      <c r="AB309" s="66" t="s">
        <v>423</v>
      </c>
      <c r="AC309" s="66" t="s">
        <v>423</v>
      </c>
      <c r="AD309" s="66" t="s">
        <v>423</v>
      </c>
    </row>
    <row r="310" spans="1:30" x14ac:dyDescent="0.3">
      <c r="A310">
        <v>1</v>
      </c>
      <c r="B310" s="68">
        <f>SUBTOTAL(9,$A$189:A310)</f>
        <v>106</v>
      </c>
      <c r="C310" s="73" t="s">
        <v>211</v>
      </c>
      <c r="D310" s="79" t="s">
        <v>617</v>
      </c>
      <c r="E310" s="65">
        <f t="shared" ref="E310:E311" si="93">F310+G310+H310+I310+J310+K310+M310+O310+Q310+S310+U310+V310+W310+X310+Z310+AA310+Y310</f>
        <v>7426288.3500000006</v>
      </c>
      <c r="F310" s="77">
        <v>0</v>
      </c>
      <c r="G310" s="77">
        <v>0</v>
      </c>
      <c r="H310" s="77">
        <v>0</v>
      </c>
      <c r="I310" s="77">
        <v>0</v>
      </c>
      <c r="J310" s="77">
        <v>0</v>
      </c>
      <c r="K310" s="77">
        <v>0</v>
      </c>
      <c r="L310" s="155">
        <v>0</v>
      </c>
      <c r="M310" s="77">
        <v>0</v>
      </c>
      <c r="N310" s="90">
        <v>585</v>
      </c>
      <c r="O310" s="72">
        <v>7119495.9100000001</v>
      </c>
      <c r="P310" s="77">
        <v>0</v>
      </c>
      <c r="Q310" s="77">
        <v>0</v>
      </c>
      <c r="R310" s="77">
        <v>0</v>
      </c>
      <c r="S310" s="77">
        <v>0</v>
      </c>
      <c r="T310" s="77">
        <v>0</v>
      </c>
      <c r="U310" s="77">
        <v>0</v>
      </c>
      <c r="V310" s="77">
        <v>0</v>
      </c>
      <c r="W310" s="77">
        <v>0</v>
      </c>
      <c r="X310" s="77">
        <v>0</v>
      </c>
      <c r="Y310" s="77">
        <v>200000</v>
      </c>
      <c r="Z310" s="77">
        <f t="shared" ref="Z310:Z311" si="94">ROUND(O310*1.5%,2)</f>
        <v>106792.44</v>
      </c>
      <c r="AA310" s="77">
        <v>0</v>
      </c>
      <c r="AB310" s="70">
        <v>2027</v>
      </c>
      <c r="AC310" s="70">
        <v>2027</v>
      </c>
      <c r="AD310" s="70">
        <v>2027</v>
      </c>
    </row>
    <row r="311" spans="1:30" ht="24.75" customHeight="1" x14ac:dyDescent="0.3">
      <c r="A311">
        <v>1</v>
      </c>
      <c r="B311" s="68">
        <f>SUBTOTAL(9,$A$189:A311)</f>
        <v>107</v>
      </c>
      <c r="C311" s="73" t="s">
        <v>212</v>
      </c>
      <c r="D311" s="79" t="s">
        <v>617</v>
      </c>
      <c r="E311" s="65">
        <f t="shared" si="93"/>
        <v>4847812.2</v>
      </c>
      <c r="F311" s="77">
        <v>0</v>
      </c>
      <c r="G311" s="77">
        <v>0</v>
      </c>
      <c r="H311" s="77">
        <v>0</v>
      </c>
      <c r="I311" s="77">
        <v>0</v>
      </c>
      <c r="J311" s="77">
        <v>0</v>
      </c>
      <c r="K311" s="77">
        <v>0</v>
      </c>
      <c r="L311" s="155">
        <v>0</v>
      </c>
      <c r="M311" s="77">
        <v>0</v>
      </c>
      <c r="N311" s="90">
        <v>270</v>
      </c>
      <c r="O311" s="72">
        <v>4579125.32</v>
      </c>
      <c r="P311" s="77">
        <v>0</v>
      </c>
      <c r="Q311" s="77">
        <v>0</v>
      </c>
      <c r="R311" s="77">
        <v>0</v>
      </c>
      <c r="S311" s="77">
        <v>0</v>
      </c>
      <c r="T311" s="77">
        <v>0</v>
      </c>
      <c r="U311" s="77">
        <v>0</v>
      </c>
      <c r="V311" s="77">
        <v>0</v>
      </c>
      <c r="W311" s="77">
        <v>0</v>
      </c>
      <c r="X311" s="77">
        <v>0</v>
      </c>
      <c r="Y311" s="77">
        <v>200000</v>
      </c>
      <c r="Z311" s="77">
        <f t="shared" si="94"/>
        <v>68686.880000000005</v>
      </c>
      <c r="AA311" s="77">
        <v>0</v>
      </c>
      <c r="AB311" s="70">
        <v>2027</v>
      </c>
      <c r="AC311" s="70">
        <v>2027</v>
      </c>
      <c r="AD311" s="70">
        <v>2027</v>
      </c>
    </row>
    <row r="312" spans="1:30" x14ac:dyDescent="0.3">
      <c r="B312" s="62" t="s">
        <v>222</v>
      </c>
      <c r="C312" s="62"/>
      <c r="D312" s="86"/>
      <c r="E312" s="5">
        <f>SUM(E313:E314)</f>
        <v>10822302.309999999</v>
      </c>
      <c r="F312" s="77">
        <f t="shared" ref="F312:AA312" si="95">SUM(F313:F314)</f>
        <v>0</v>
      </c>
      <c r="G312" s="77">
        <f t="shared" si="95"/>
        <v>0</v>
      </c>
      <c r="H312" s="77">
        <f t="shared" si="95"/>
        <v>0</v>
      </c>
      <c r="I312" s="77">
        <f t="shared" si="95"/>
        <v>0</v>
      </c>
      <c r="J312" s="77">
        <f t="shared" si="95"/>
        <v>0</v>
      </c>
      <c r="K312" s="77">
        <f t="shared" si="95"/>
        <v>0</v>
      </c>
      <c r="L312" s="155">
        <f t="shared" si="95"/>
        <v>0</v>
      </c>
      <c r="M312" s="77">
        <f t="shared" si="95"/>
        <v>0</v>
      </c>
      <c r="N312" s="77">
        <f t="shared" si="95"/>
        <v>881.3</v>
      </c>
      <c r="O312" s="77">
        <f t="shared" si="95"/>
        <v>10268278.140000001</v>
      </c>
      <c r="P312" s="77">
        <f t="shared" si="95"/>
        <v>0</v>
      </c>
      <c r="Q312" s="77">
        <f t="shared" si="95"/>
        <v>0</v>
      </c>
      <c r="R312" s="77">
        <f t="shared" si="95"/>
        <v>0</v>
      </c>
      <c r="S312" s="77">
        <f t="shared" si="95"/>
        <v>0</v>
      </c>
      <c r="T312" s="77">
        <f t="shared" si="95"/>
        <v>0</v>
      </c>
      <c r="U312" s="77">
        <f t="shared" si="95"/>
        <v>0</v>
      </c>
      <c r="V312" s="77">
        <f t="shared" si="95"/>
        <v>0</v>
      </c>
      <c r="W312" s="77">
        <f t="shared" si="95"/>
        <v>0</v>
      </c>
      <c r="X312" s="77">
        <f t="shared" si="95"/>
        <v>0</v>
      </c>
      <c r="Y312" s="77">
        <f t="shared" si="95"/>
        <v>400000</v>
      </c>
      <c r="Z312" s="77">
        <f t="shared" si="95"/>
        <v>154024.16999999998</v>
      </c>
      <c r="AA312" s="77">
        <f t="shared" si="95"/>
        <v>0</v>
      </c>
      <c r="AB312" s="66" t="s">
        <v>423</v>
      </c>
      <c r="AC312" s="66" t="s">
        <v>423</v>
      </c>
      <c r="AD312" s="66" t="s">
        <v>423</v>
      </c>
    </row>
    <row r="313" spans="1:30" x14ac:dyDescent="0.3">
      <c r="A313">
        <v>1</v>
      </c>
      <c r="B313" s="68">
        <f>SUBTOTAL(9,$A$189:A313)</f>
        <v>108</v>
      </c>
      <c r="C313" s="73" t="s">
        <v>219</v>
      </c>
      <c r="D313" s="79" t="s">
        <v>618</v>
      </c>
      <c r="E313" s="65">
        <f t="shared" ref="E313:E314" si="96">F313+G313+H313+I313+J313+K313+M313+O313+Q313+S313+U313+V313+W313+X313+Z313+AA313+Y313</f>
        <v>4559538.01</v>
      </c>
      <c r="F313" s="77">
        <v>0</v>
      </c>
      <c r="G313" s="77">
        <v>0</v>
      </c>
      <c r="H313" s="77">
        <v>0</v>
      </c>
      <c r="I313" s="77">
        <v>0</v>
      </c>
      <c r="J313" s="77">
        <v>0</v>
      </c>
      <c r="K313" s="77">
        <v>0</v>
      </c>
      <c r="L313" s="155">
        <v>0</v>
      </c>
      <c r="M313" s="77">
        <v>0</v>
      </c>
      <c r="N313" s="90">
        <v>371.3</v>
      </c>
      <c r="O313" s="72">
        <v>4295111.34</v>
      </c>
      <c r="P313" s="77">
        <v>0</v>
      </c>
      <c r="Q313" s="77">
        <v>0</v>
      </c>
      <c r="R313" s="77">
        <v>0</v>
      </c>
      <c r="S313" s="77">
        <v>0</v>
      </c>
      <c r="T313" s="77">
        <v>0</v>
      </c>
      <c r="U313" s="77">
        <v>0</v>
      </c>
      <c r="V313" s="77">
        <v>0</v>
      </c>
      <c r="W313" s="77">
        <v>0</v>
      </c>
      <c r="X313" s="77">
        <v>0</v>
      </c>
      <c r="Y313" s="77">
        <v>200000</v>
      </c>
      <c r="Z313" s="77">
        <f t="shared" ref="Z313:Z314" si="97">ROUND(O313*1.5%,2)</f>
        <v>64426.67</v>
      </c>
      <c r="AA313" s="77">
        <v>0</v>
      </c>
      <c r="AB313" s="70">
        <v>2027</v>
      </c>
      <c r="AC313" s="70">
        <v>2027</v>
      </c>
      <c r="AD313" s="70">
        <v>2027</v>
      </c>
    </row>
    <row r="314" spans="1:30" x14ac:dyDescent="0.3">
      <c r="A314">
        <v>1</v>
      </c>
      <c r="B314" s="68">
        <f>SUBTOTAL(9,$A$189:A314)</f>
        <v>109</v>
      </c>
      <c r="C314" s="73" t="s">
        <v>220</v>
      </c>
      <c r="D314" s="79" t="s">
        <v>618</v>
      </c>
      <c r="E314" s="65">
        <f t="shared" si="96"/>
        <v>6262764.2999999998</v>
      </c>
      <c r="F314" s="77">
        <v>0</v>
      </c>
      <c r="G314" s="77">
        <v>0</v>
      </c>
      <c r="H314" s="77">
        <v>0</v>
      </c>
      <c r="I314" s="77">
        <v>0</v>
      </c>
      <c r="J314" s="77">
        <v>0</v>
      </c>
      <c r="K314" s="77">
        <v>0</v>
      </c>
      <c r="L314" s="155">
        <v>0</v>
      </c>
      <c r="M314" s="77">
        <v>0</v>
      </c>
      <c r="N314" s="90">
        <v>510</v>
      </c>
      <c r="O314" s="72">
        <v>5973166.7999999998</v>
      </c>
      <c r="P314" s="77">
        <v>0</v>
      </c>
      <c r="Q314" s="77">
        <v>0</v>
      </c>
      <c r="R314" s="77">
        <v>0</v>
      </c>
      <c r="S314" s="77">
        <v>0</v>
      </c>
      <c r="T314" s="77">
        <v>0</v>
      </c>
      <c r="U314" s="77">
        <v>0</v>
      </c>
      <c r="V314" s="77">
        <v>0</v>
      </c>
      <c r="W314" s="77">
        <v>0</v>
      </c>
      <c r="X314" s="77">
        <v>0</v>
      </c>
      <c r="Y314" s="77">
        <v>200000</v>
      </c>
      <c r="Z314" s="77">
        <f t="shared" si="97"/>
        <v>89597.5</v>
      </c>
      <c r="AA314" s="77">
        <v>0</v>
      </c>
      <c r="AB314" s="70">
        <v>2027</v>
      </c>
      <c r="AC314" s="70">
        <v>2027</v>
      </c>
      <c r="AD314" s="70">
        <v>2027</v>
      </c>
    </row>
    <row r="315" spans="1:30" x14ac:dyDescent="0.3">
      <c r="B315" s="67" t="s">
        <v>697</v>
      </c>
      <c r="C315" s="67"/>
      <c r="D315" s="87"/>
      <c r="E315" s="72">
        <f>SUM(E316:E317)</f>
        <v>42260023.789999999</v>
      </c>
      <c r="F315" s="72">
        <f t="shared" ref="F315:AA315" si="98">SUM(F316:F317)</f>
        <v>0</v>
      </c>
      <c r="G315" s="72">
        <f t="shared" si="98"/>
        <v>0</v>
      </c>
      <c r="H315" s="72">
        <f t="shared" si="98"/>
        <v>0</v>
      </c>
      <c r="I315" s="72">
        <f t="shared" si="98"/>
        <v>0</v>
      </c>
      <c r="J315" s="72">
        <f t="shared" si="98"/>
        <v>0</v>
      </c>
      <c r="K315" s="72">
        <f t="shared" si="98"/>
        <v>0</v>
      </c>
      <c r="L315" s="155">
        <f t="shared" si="98"/>
        <v>0</v>
      </c>
      <c r="M315" s="72">
        <f t="shared" si="98"/>
        <v>0</v>
      </c>
      <c r="N315" s="72">
        <f t="shared" si="98"/>
        <v>3329</v>
      </c>
      <c r="O315" s="72">
        <f t="shared" si="98"/>
        <v>41093619.489999995</v>
      </c>
      <c r="P315" s="72">
        <f t="shared" si="98"/>
        <v>0</v>
      </c>
      <c r="Q315" s="72">
        <f t="shared" si="98"/>
        <v>0</v>
      </c>
      <c r="R315" s="72">
        <f t="shared" si="98"/>
        <v>0</v>
      </c>
      <c r="S315" s="72">
        <f t="shared" si="98"/>
        <v>0</v>
      </c>
      <c r="T315" s="72">
        <f t="shared" si="98"/>
        <v>0</v>
      </c>
      <c r="U315" s="72">
        <f t="shared" si="98"/>
        <v>0</v>
      </c>
      <c r="V315" s="72">
        <f t="shared" si="98"/>
        <v>0</v>
      </c>
      <c r="W315" s="72">
        <f t="shared" si="98"/>
        <v>0</v>
      </c>
      <c r="X315" s="72">
        <f t="shared" si="98"/>
        <v>0</v>
      </c>
      <c r="Y315" s="72">
        <f t="shared" si="98"/>
        <v>550000</v>
      </c>
      <c r="Z315" s="72">
        <f t="shared" si="98"/>
        <v>616404.30000000005</v>
      </c>
      <c r="AA315" s="72">
        <f t="shared" si="98"/>
        <v>0</v>
      </c>
      <c r="AB315" s="66" t="s">
        <v>423</v>
      </c>
      <c r="AC315" s="66" t="s">
        <v>423</v>
      </c>
      <c r="AD315" s="66" t="s">
        <v>423</v>
      </c>
    </row>
    <row r="316" spans="1:30" x14ac:dyDescent="0.3">
      <c r="A316">
        <v>1</v>
      </c>
      <c r="B316" s="68">
        <f>SUBTOTAL(9,$A$189:A316)</f>
        <v>110</v>
      </c>
      <c r="C316" s="73" t="s">
        <v>283</v>
      </c>
      <c r="D316" s="79" t="s">
        <v>619</v>
      </c>
      <c r="E316" s="65">
        <f>F316+G316+H316+I316+J316+K316+M316+O316+Q316+S316+U316+V316+W316+X316+Z316+AA316+Y316</f>
        <v>19409905.789999999</v>
      </c>
      <c r="F316" s="77">
        <v>0</v>
      </c>
      <c r="G316" s="77">
        <v>0</v>
      </c>
      <c r="H316" s="77">
        <v>0</v>
      </c>
      <c r="I316" s="77">
        <v>0</v>
      </c>
      <c r="J316" s="77">
        <v>0</v>
      </c>
      <c r="K316" s="77">
        <v>0</v>
      </c>
      <c r="L316" s="155">
        <v>0</v>
      </c>
      <c r="M316" s="77">
        <v>0</v>
      </c>
      <c r="N316" s="77">
        <v>1529</v>
      </c>
      <c r="O316" s="72">
        <v>18876754.469999999</v>
      </c>
      <c r="P316" s="77">
        <v>0</v>
      </c>
      <c r="Q316" s="77">
        <v>0</v>
      </c>
      <c r="R316" s="77">
        <v>0</v>
      </c>
      <c r="S316" s="77">
        <v>0</v>
      </c>
      <c r="T316" s="77">
        <v>0</v>
      </c>
      <c r="U316" s="77">
        <v>0</v>
      </c>
      <c r="V316" s="77">
        <v>0</v>
      </c>
      <c r="W316" s="77">
        <v>0</v>
      </c>
      <c r="X316" s="77">
        <v>0</v>
      </c>
      <c r="Y316" s="77">
        <v>250000</v>
      </c>
      <c r="Z316" s="77">
        <f>ROUND(O316*1.5%,2)</f>
        <v>283151.32</v>
      </c>
      <c r="AA316" s="77">
        <v>0</v>
      </c>
      <c r="AB316" s="70">
        <v>2027</v>
      </c>
      <c r="AC316" s="70">
        <v>2027</v>
      </c>
      <c r="AD316" s="70">
        <v>2027</v>
      </c>
    </row>
    <row r="317" spans="1:30" x14ac:dyDescent="0.3">
      <c r="A317">
        <v>1</v>
      </c>
      <c r="B317" s="68">
        <f>SUBTOTAL(9,$A$189:A317)</f>
        <v>111</v>
      </c>
      <c r="C317" s="73" t="s">
        <v>284</v>
      </c>
      <c r="D317" s="79" t="s">
        <v>619</v>
      </c>
      <c r="E317" s="65">
        <f>F317+G317+H317+I317+J317+K317+M317+O317+Q317+S317+U317+V317+W317+X317+Z317+AA317+Y317</f>
        <v>22850118</v>
      </c>
      <c r="F317" s="91">
        <v>0</v>
      </c>
      <c r="G317" s="91">
        <v>0</v>
      </c>
      <c r="H317" s="91">
        <v>0</v>
      </c>
      <c r="I317" s="91">
        <v>0</v>
      </c>
      <c r="J317" s="91">
        <v>0</v>
      </c>
      <c r="K317" s="91">
        <v>0</v>
      </c>
      <c r="L317" s="157">
        <v>0</v>
      </c>
      <c r="M317" s="91">
        <v>0</v>
      </c>
      <c r="N317" s="72">
        <v>1800</v>
      </c>
      <c r="O317" s="72">
        <v>22216865.02</v>
      </c>
      <c r="P317" s="91">
        <v>0</v>
      </c>
      <c r="Q317" s="91">
        <v>0</v>
      </c>
      <c r="R317" s="72">
        <v>0</v>
      </c>
      <c r="S317" s="72">
        <v>0</v>
      </c>
      <c r="T317" s="77">
        <v>0</v>
      </c>
      <c r="U317" s="77">
        <v>0</v>
      </c>
      <c r="V317" s="77">
        <v>0</v>
      </c>
      <c r="W317" s="77">
        <v>0</v>
      </c>
      <c r="X317" s="77">
        <v>0</v>
      </c>
      <c r="Y317" s="77">
        <v>300000</v>
      </c>
      <c r="Z317" s="77">
        <f>ROUND(O317*1.5%,2)</f>
        <v>333252.98</v>
      </c>
      <c r="AA317" s="77">
        <v>0</v>
      </c>
      <c r="AB317" s="70">
        <v>2027</v>
      </c>
      <c r="AC317" s="70">
        <v>2027</v>
      </c>
      <c r="AD317" s="70">
        <v>2027</v>
      </c>
    </row>
    <row r="318" spans="1:30" x14ac:dyDescent="0.3">
      <c r="B318" s="67" t="s">
        <v>698</v>
      </c>
      <c r="C318" s="67"/>
      <c r="D318" s="87"/>
      <c r="E318" s="72">
        <f>SUM(E319:E321)</f>
        <v>54198804.079999998</v>
      </c>
      <c r="F318" s="72">
        <f t="shared" ref="F318:AA318" si="99">SUM(F319:F321)</f>
        <v>0</v>
      </c>
      <c r="G318" s="72">
        <f t="shared" si="99"/>
        <v>0</v>
      </c>
      <c r="H318" s="72">
        <f t="shared" si="99"/>
        <v>0</v>
      </c>
      <c r="I318" s="72">
        <f t="shared" si="99"/>
        <v>0</v>
      </c>
      <c r="J318" s="72">
        <f t="shared" si="99"/>
        <v>0</v>
      </c>
      <c r="K318" s="72">
        <f t="shared" si="99"/>
        <v>0</v>
      </c>
      <c r="L318" s="155">
        <f t="shared" si="99"/>
        <v>0</v>
      </c>
      <c r="M318" s="72">
        <f t="shared" si="99"/>
        <v>0</v>
      </c>
      <c r="N318" s="72">
        <f t="shared" si="99"/>
        <v>4481</v>
      </c>
      <c r="O318" s="72">
        <f t="shared" si="99"/>
        <v>52708181.369999997</v>
      </c>
      <c r="P318" s="72">
        <f t="shared" si="99"/>
        <v>0</v>
      </c>
      <c r="Q318" s="72">
        <f t="shared" si="99"/>
        <v>0</v>
      </c>
      <c r="R318" s="72">
        <f t="shared" si="99"/>
        <v>0</v>
      </c>
      <c r="S318" s="72">
        <f t="shared" si="99"/>
        <v>0</v>
      </c>
      <c r="T318" s="72">
        <f t="shared" si="99"/>
        <v>0</v>
      </c>
      <c r="U318" s="72">
        <f t="shared" si="99"/>
        <v>0</v>
      </c>
      <c r="V318" s="72">
        <f t="shared" si="99"/>
        <v>0</v>
      </c>
      <c r="W318" s="72">
        <f t="shared" si="99"/>
        <v>0</v>
      </c>
      <c r="X318" s="72">
        <f t="shared" si="99"/>
        <v>0</v>
      </c>
      <c r="Y318" s="72">
        <f t="shared" si="99"/>
        <v>700000</v>
      </c>
      <c r="Z318" s="72">
        <f t="shared" si="99"/>
        <v>790622.71000000008</v>
      </c>
      <c r="AA318" s="72">
        <f t="shared" si="99"/>
        <v>0</v>
      </c>
      <c r="AB318" s="66" t="s">
        <v>423</v>
      </c>
      <c r="AC318" s="66" t="s">
        <v>423</v>
      </c>
      <c r="AD318" s="66" t="s">
        <v>423</v>
      </c>
    </row>
    <row r="319" spans="1:30" x14ac:dyDescent="0.3">
      <c r="A319">
        <v>1</v>
      </c>
      <c r="B319" s="68">
        <f>SUBTOTAL(9,$A$189:A319)</f>
        <v>112</v>
      </c>
      <c r="C319" s="73" t="s">
        <v>285</v>
      </c>
      <c r="D319" s="79" t="s">
        <v>619</v>
      </c>
      <c r="E319" s="65">
        <f>F319+G319+H319+I319+J319+K319+M319+O319+Q319+S319+U319+V319+W319+X319+Z319+AA319+Y319</f>
        <v>20904001.079999998</v>
      </c>
      <c r="F319" s="72">
        <v>0</v>
      </c>
      <c r="G319" s="72">
        <v>0</v>
      </c>
      <c r="H319" s="72">
        <v>0</v>
      </c>
      <c r="I319" s="72">
        <v>0</v>
      </c>
      <c r="J319" s="72">
        <v>0</v>
      </c>
      <c r="K319" s="72">
        <v>0</v>
      </c>
      <c r="L319" s="156">
        <v>0</v>
      </c>
      <c r="M319" s="72">
        <v>0</v>
      </c>
      <c r="N319" s="72">
        <v>2111</v>
      </c>
      <c r="O319" s="72">
        <v>20348769.539999999</v>
      </c>
      <c r="P319" s="72">
        <v>0</v>
      </c>
      <c r="Q319" s="72">
        <v>0</v>
      </c>
      <c r="R319" s="72">
        <v>0</v>
      </c>
      <c r="S319" s="72">
        <v>0</v>
      </c>
      <c r="T319" s="77">
        <v>0</v>
      </c>
      <c r="U319" s="77">
        <v>0</v>
      </c>
      <c r="V319" s="77">
        <v>0</v>
      </c>
      <c r="W319" s="77">
        <v>0</v>
      </c>
      <c r="X319" s="77">
        <v>0</v>
      </c>
      <c r="Y319" s="77">
        <v>250000</v>
      </c>
      <c r="Z319" s="77">
        <f>ROUND(O319*1.5%,2)</f>
        <v>305231.53999999998</v>
      </c>
      <c r="AA319" s="77">
        <v>0</v>
      </c>
      <c r="AB319" s="70">
        <v>2027</v>
      </c>
      <c r="AC319" s="70">
        <v>2027</v>
      </c>
      <c r="AD319" s="70">
        <v>2027</v>
      </c>
    </row>
    <row r="320" spans="1:30" x14ac:dyDescent="0.3">
      <c r="A320">
        <v>1</v>
      </c>
      <c r="B320" s="68">
        <f>SUBTOTAL(9,$A$189:A320)</f>
        <v>113</v>
      </c>
      <c r="C320" s="73" t="s">
        <v>286</v>
      </c>
      <c r="D320" s="79" t="s">
        <v>619</v>
      </c>
      <c r="E320" s="65">
        <f t="shared" ref="E320:E321" si="100">F320+G320+H320+I320+J320+K320+M320+O320+Q320+S320+U320+V320+W320+X320+Z320+AA320+Y320</f>
        <v>22342338</v>
      </c>
      <c r="F320" s="91">
        <v>0</v>
      </c>
      <c r="G320" s="91">
        <v>0</v>
      </c>
      <c r="H320" s="91">
        <v>0</v>
      </c>
      <c r="I320" s="91">
        <v>0</v>
      </c>
      <c r="J320" s="91">
        <v>0</v>
      </c>
      <c r="K320" s="91">
        <v>0</v>
      </c>
      <c r="L320" s="157">
        <v>0</v>
      </c>
      <c r="M320" s="91">
        <v>0</v>
      </c>
      <c r="N320" s="72">
        <v>1760</v>
      </c>
      <c r="O320" s="72">
        <v>21765850.25</v>
      </c>
      <c r="P320" s="91">
        <v>0</v>
      </c>
      <c r="Q320" s="91">
        <v>0</v>
      </c>
      <c r="R320" s="72">
        <v>0</v>
      </c>
      <c r="S320" s="72">
        <v>0</v>
      </c>
      <c r="T320" s="77">
        <v>0</v>
      </c>
      <c r="U320" s="77">
        <v>0</v>
      </c>
      <c r="V320" s="77">
        <v>0</v>
      </c>
      <c r="W320" s="77">
        <v>0</v>
      </c>
      <c r="X320" s="77">
        <v>0</v>
      </c>
      <c r="Y320" s="77">
        <v>250000</v>
      </c>
      <c r="Z320" s="77">
        <f t="shared" ref="Z320:Z321" si="101">ROUND(O320*1.5%,2)</f>
        <v>326487.75</v>
      </c>
      <c r="AA320" s="77">
        <v>0</v>
      </c>
      <c r="AB320" s="70">
        <v>2027</v>
      </c>
      <c r="AC320" s="70">
        <v>2027</v>
      </c>
      <c r="AD320" s="70">
        <v>2027</v>
      </c>
    </row>
    <row r="321" spans="1:30" x14ac:dyDescent="0.3">
      <c r="A321">
        <v>1</v>
      </c>
      <c r="B321" s="68">
        <f>SUBTOTAL(9,$A$189:A321)</f>
        <v>114</v>
      </c>
      <c r="C321" s="73" t="s">
        <v>287</v>
      </c>
      <c r="D321" s="79" t="s">
        <v>619</v>
      </c>
      <c r="E321" s="65">
        <f t="shared" si="100"/>
        <v>10952465</v>
      </c>
      <c r="F321" s="91">
        <v>0</v>
      </c>
      <c r="G321" s="91">
        <v>0</v>
      </c>
      <c r="H321" s="91">
        <v>0</v>
      </c>
      <c r="I321" s="91">
        <v>0</v>
      </c>
      <c r="J321" s="91">
        <v>0</v>
      </c>
      <c r="K321" s="91">
        <v>0</v>
      </c>
      <c r="L321" s="157">
        <v>0</v>
      </c>
      <c r="M321" s="91">
        <v>0</v>
      </c>
      <c r="N321" s="72">
        <v>610</v>
      </c>
      <c r="O321" s="72">
        <v>10593561.58</v>
      </c>
      <c r="P321" s="91">
        <v>0</v>
      </c>
      <c r="Q321" s="91">
        <v>0</v>
      </c>
      <c r="R321" s="72">
        <v>0</v>
      </c>
      <c r="S321" s="72">
        <v>0</v>
      </c>
      <c r="T321" s="77">
        <v>0</v>
      </c>
      <c r="U321" s="77">
        <v>0</v>
      </c>
      <c r="V321" s="77">
        <v>0</v>
      </c>
      <c r="W321" s="77">
        <v>0</v>
      </c>
      <c r="X321" s="77">
        <v>0</v>
      </c>
      <c r="Y321" s="77">
        <v>200000</v>
      </c>
      <c r="Z321" s="77">
        <f t="shared" si="101"/>
        <v>158903.42000000001</v>
      </c>
      <c r="AA321" s="77">
        <v>0</v>
      </c>
      <c r="AB321" s="70">
        <v>2027</v>
      </c>
      <c r="AC321" s="70">
        <v>2027</v>
      </c>
      <c r="AD321" s="70">
        <v>2027</v>
      </c>
    </row>
    <row r="322" spans="1:30" x14ac:dyDescent="0.3">
      <c r="B322" s="62" t="s">
        <v>690</v>
      </c>
      <c r="C322" s="62"/>
      <c r="D322" s="86"/>
      <c r="E322" s="5">
        <f>E323</f>
        <v>13374774.17</v>
      </c>
      <c r="F322" s="77">
        <f t="shared" ref="F322:AA322" si="102">F323</f>
        <v>0</v>
      </c>
      <c r="G322" s="77">
        <f t="shared" si="102"/>
        <v>0</v>
      </c>
      <c r="H322" s="77">
        <f t="shared" si="102"/>
        <v>0</v>
      </c>
      <c r="I322" s="77">
        <f t="shared" si="102"/>
        <v>0</v>
      </c>
      <c r="J322" s="77">
        <f t="shared" si="102"/>
        <v>0</v>
      </c>
      <c r="K322" s="77">
        <f t="shared" si="102"/>
        <v>0</v>
      </c>
      <c r="L322" s="155">
        <f t="shared" si="102"/>
        <v>0</v>
      </c>
      <c r="M322" s="77">
        <f t="shared" si="102"/>
        <v>0</v>
      </c>
      <c r="N322" s="77">
        <f t="shared" si="102"/>
        <v>1090</v>
      </c>
      <c r="O322" s="77">
        <f t="shared" si="102"/>
        <v>12980073.07</v>
      </c>
      <c r="P322" s="77">
        <f t="shared" si="102"/>
        <v>0</v>
      </c>
      <c r="Q322" s="77">
        <f t="shared" si="102"/>
        <v>0</v>
      </c>
      <c r="R322" s="77">
        <f t="shared" si="102"/>
        <v>0</v>
      </c>
      <c r="S322" s="77">
        <f t="shared" si="102"/>
        <v>0</v>
      </c>
      <c r="T322" s="77">
        <f t="shared" si="102"/>
        <v>0</v>
      </c>
      <c r="U322" s="77">
        <f t="shared" si="102"/>
        <v>0</v>
      </c>
      <c r="V322" s="77">
        <f t="shared" si="102"/>
        <v>0</v>
      </c>
      <c r="W322" s="77">
        <f t="shared" si="102"/>
        <v>0</v>
      </c>
      <c r="X322" s="77">
        <f t="shared" si="102"/>
        <v>0</v>
      </c>
      <c r="Y322" s="77">
        <f t="shared" si="102"/>
        <v>200000</v>
      </c>
      <c r="Z322" s="77">
        <f t="shared" si="102"/>
        <v>194701.1</v>
      </c>
      <c r="AA322" s="77">
        <f t="shared" si="102"/>
        <v>0</v>
      </c>
      <c r="AB322" s="66" t="s">
        <v>423</v>
      </c>
      <c r="AC322" s="66" t="s">
        <v>423</v>
      </c>
      <c r="AD322" s="66" t="s">
        <v>423</v>
      </c>
    </row>
    <row r="323" spans="1:30" x14ac:dyDescent="0.3">
      <c r="A323">
        <v>1</v>
      </c>
      <c r="B323" s="68">
        <f>SUBTOTAL(9,$A$189:A323)</f>
        <v>115</v>
      </c>
      <c r="C323" s="73" t="s">
        <v>225</v>
      </c>
      <c r="D323" s="79" t="s">
        <v>620</v>
      </c>
      <c r="E323" s="72">
        <f>F323+G323+H323+I323+J323+K323+M323+O323+Q323+S323+U323+V323+W323+X323+Y323+Z323+AA323</f>
        <v>13374774.17</v>
      </c>
      <c r="F323" s="77">
        <v>0</v>
      </c>
      <c r="G323" s="77">
        <v>0</v>
      </c>
      <c r="H323" s="77">
        <v>0</v>
      </c>
      <c r="I323" s="77">
        <v>0</v>
      </c>
      <c r="J323" s="77">
        <v>0</v>
      </c>
      <c r="K323" s="77">
        <v>0</v>
      </c>
      <c r="L323" s="155">
        <v>0</v>
      </c>
      <c r="M323" s="77">
        <v>0</v>
      </c>
      <c r="N323" s="95">
        <v>1090</v>
      </c>
      <c r="O323" s="95">
        <v>12980073.07</v>
      </c>
      <c r="P323" s="77">
        <v>0</v>
      </c>
      <c r="Q323" s="77">
        <v>0</v>
      </c>
      <c r="R323" s="77">
        <v>0</v>
      </c>
      <c r="S323" s="77">
        <v>0</v>
      </c>
      <c r="T323" s="77">
        <v>0</v>
      </c>
      <c r="U323" s="77">
        <v>0</v>
      </c>
      <c r="V323" s="77">
        <v>0</v>
      </c>
      <c r="W323" s="77">
        <v>0</v>
      </c>
      <c r="X323" s="77">
        <v>0</v>
      </c>
      <c r="Y323" s="95">
        <v>200000</v>
      </c>
      <c r="Z323" s="95">
        <f>ROUND(O323*1.5%,2)</f>
        <v>194701.1</v>
      </c>
      <c r="AA323" s="77">
        <v>0</v>
      </c>
      <c r="AB323" s="70">
        <v>2027</v>
      </c>
      <c r="AC323" s="70">
        <v>2027</v>
      </c>
      <c r="AD323" s="70">
        <v>2027</v>
      </c>
    </row>
    <row r="324" spans="1:30" x14ac:dyDescent="0.3">
      <c r="B324" s="62" t="s">
        <v>242</v>
      </c>
      <c r="C324" s="62"/>
      <c r="D324" s="86"/>
      <c r="E324" s="5">
        <f>SUM(E325:E328)</f>
        <v>50950786.43</v>
      </c>
      <c r="F324" s="77">
        <f t="shared" ref="F324:AA324" si="103">SUM(F325:F328)</f>
        <v>0</v>
      </c>
      <c r="G324" s="77">
        <f t="shared" si="103"/>
        <v>0</v>
      </c>
      <c r="H324" s="77">
        <f t="shared" si="103"/>
        <v>0</v>
      </c>
      <c r="I324" s="77">
        <f t="shared" si="103"/>
        <v>0</v>
      </c>
      <c r="J324" s="77">
        <f t="shared" si="103"/>
        <v>0</v>
      </c>
      <c r="K324" s="77">
        <f t="shared" si="103"/>
        <v>0</v>
      </c>
      <c r="L324" s="155">
        <f t="shared" si="103"/>
        <v>0</v>
      </c>
      <c r="M324" s="77">
        <f t="shared" si="103"/>
        <v>0</v>
      </c>
      <c r="N324" s="77">
        <f t="shared" si="103"/>
        <v>3534.2200000000003</v>
      </c>
      <c r="O324" s="77">
        <f t="shared" si="103"/>
        <v>43757772.019999996</v>
      </c>
      <c r="P324" s="77">
        <f t="shared" si="103"/>
        <v>0</v>
      </c>
      <c r="Q324" s="77">
        <f t="shared" si="103"/>
        <v>0</v>
      </c>
      <c r="R324" s="77">
        <f t="shared" si="103"/>
        <v>508.56</v>
      </c>
      <c r="S324" s="77">
        <f t="shared" si="103"/>
        <v>5553347.6200000001</v>
      </c>
      <c r="T324" s="77">
        <f t="shared" si="103"/>
        <v>0</v>
      </c>
      <c r="U324" s="77">
        <f t="shared" si="103"/>
        <v>0</v>
      </c>
      <c r="V324" s="77">
        <f t="shared" si="103"/>
        <v>0</v>
      </c>
      <c r="W324" s="77">
        <f t="shared" si="103"/>
        <v>0</v>
      </c>
      <c r="X324" s="77">
        <f t="shared" si="103"/>
        <v>0</v>
      </c>
      <c r="Y324" s="77">
        <f t="shared" si="103"/>
        <v>900000</v>
      </c>
      <c r="Z324" s="77">
        <f t="shared" si="103"/>
        <v>739666.78999999992</v>
      </c>
      <c r="AA324" s="77">
        <f t="shared" si="103"/>
        <v>0</v>
      </c>
      <c r="AB324" s="66" t="s">
        <v>423</v>
      </c>
      <c r="AC324" s="66" t="s">
        <v>423</v>
      </c>
      <c r="AD324" s="66" t="s">
        <v>423</v>
      </c>
    </row>
    <row r="325" spans="1:30" x14ac:dyDescent="0.3">
      <c r="A325">
        <v>1</v>
      </c>
      <c r="B325" s="68">
        <f>SUBTOTAL(9,$A$189:A325)</f>
        <v>116</v>
      </c>
      <c r="C325" s="73" t="s">
        <v>233</v>
      </c>
      <c r="D325" s="79" t="s">
        <v>621</v>
      </c>
      <c r="E325" s="65">
        <f t="shared" ref="E325:E328" si="104">F325+G325+H325+I325+J325+K325+M325+O325+Q325+S325+U325+V325+W325+X325+Z325+AA325+Y325</f>
        <v>20716171</v>
      </c>
      <c r="F325" s="77">
        <v>0</v>
      </c>
      <c r="G325" s="77">
        <v>0</v>
      </c>
      <c r="H325" s="77">
        <v>0</v>
      </c>
      <c r="I325" s="77">
        <v>0</v>
      </c>
      <c r="J325" s="77">
        <v>0</v>
      </c>
      <c r="K325" s="77">
        <v>0</v>
      </c>
      <c r="L325" s="155">
        <v>0</v>
      </c>
      <c r="M325" s="77">
        <v>0</v>
      </c>
      <c r="N325" s="95">
        <v>1631.9</v>
      </c>
      <c r="O325" s="72">
        <v>20163715.27</v>
      </c>
      <c r="P325" s="77">
        <v>0</v>
      </c>
      <c r="Q325" s="77">
        <v>0</v>
      </c>
      <c r="R325" s="77">
        <v>0</v>
      </c>
      <c r="S325" s="77">
        <v>0</v>
      </c>
      <c r="T325" s="77">
        <v>0</v>
      </c>
      <c r="U325" s="77">
        <v>0</v>
      </c>
      <c r="V325" s="77">
        <v>0</v>
      </c>
      <c r="W325" s="77">
        <v>0</v>
      </c>
      <c r="X325" s="77">
        <v>0</v>
      </c>
      <c r="Y325" s="77">
        <v>250000</v>
      </c>
      <c r="Z325" s="77">
        <f t="shared" ref="Z325:Z327" si="105">ROUND(O325*1.5%,2)</f>
        <v>302455.73</v>
      </c>
      <c r="AA325" s="77">
        <v>0</v>
      </c>
      <c r="AB325" s="70">
        <v>2027</v>
      </c>
      <c r="AC325" s="70">
        <v>2027</v>
      </c>
      <c r="AD325" s="70">
        <v>2027</v>
      </c>
    </row>
    <row r="326" spans="1:30" x14ac:dyDescent="0.3">
      <c r="A326">
        <v>1</v>
      </c>
      <c r="B326" s="68">
        <f>SUBTOTAL(9,$A$189:A326)</f>
        <v>117</v>
      </c>
      <c r="C326" s="73" t="s">
        <v>234</v>
      </c>
      <c r="D326" s="79" t="s">
        <v>621</v>
      </c>
      <c r="E326" s="65">
        <f t="shared" si="104"/>
        <v>10917278.6</v>
      </c>
      <c r="F326" s="77">
        <v>0</v>
      </c>
      <c r="G326" s="77">
        <v>0</v>
      </c>
      <c r="H326" s="77">
        <v>0</v>
      </c>
      <c r="I326" s="77">
        <v>0</v>
      </c>
      <c r="J326" s="77">
        <v>0</v>
      </c>
      <c r="K326" s="77">
        <v>0</v>
      </c>
      <c r="L326" s="155">
        <v>0</v>
      </c>
      <c r="M326" s="77">
        <v>0</v>
      </c>
      <c r="N326" s="95">
        <v>860</v>
      </c>
      <c r="O326" s="72">
        <v>10558895.17</v>
      </c>
      <c r="P326" s="77">
        <v>0</v>
      </c>
      <c r="Q326" s="77">
        <v>0</v>
      </c>
      <c r="R326" s="77">
        <v>0</v>
      </c>
      <c r="S326" s="77">
        <v>0</v>
      </c>
      <c r="T326" s="77">
        <v>0</v>
      </c>
      <c r="U326" s="77">
        <v>0</v>
      </c>
      <c r="V326" s="77">
        <v>0</v>
      </c>
      <c r="W326" s="77">
        <v>0</v>
      </c>
      <c r="X326" s="77">
        <v>0</v>
      </c>
      <c r="Y326" s="77">
        <v>200000</v>
      </c>
      <c r="Z326" s="77">
        <f t="shared" si="105"/>
        <v>158383.43</v>
      </c>
      <c r="AA326" s="77">
        <v>0</v>
      </c>
      <c r="AB326" s="70">
        <v>2027</v>
      </c>
      <c r="AC326" s="70">
        <v>2027</v>
      </c>
      <c r="AD326" s="70">
        <v>2027</v>
      </c>
    </row>
    <row r="327" spans="1:30" x14ac:dyDescent="0.3">
      <c r="A327">
        <v>1</v>
      </c>
      <c r="B327" s="68">
        <f>SUBTOTAL(9,$A$189:A327)</f>
        <v>118</v>
      </c>
      <c r="C327" s="73" t="s">
        <v>235</v>
      </c>
      <c r="D327" s="79" t="s">
        <v>621</v>
      </c>
      <c r="E327" s="65">
        <f t="shared" si="104"/>
        <v>13480689</v>
      </c>
      <c r="F327" s="77">
        <v>0</v>
      </c>
      <c r="G327" s="77">
        <v>0</v>
      </c>
      <c r="H327" s="77">
        <v>0</v>
      </c>
      <c r="I327" s="77">
        <v>0</v>
      </c>
      <c r="J327" s="77">
        <v>0</v>
      </c>
      <c r="K327" s="77">
        <v>0</v>
      </c>
      <c r="L327" s="155">
        <v>0</v>
      </c>
      <c r="M327" s="77">
        <v>0</v>
      </c>
      <c r="N327" s="95">
        <v>1042.32</v>
      </c>
      <c r="O327" s="72">
        <v>13035161.58</v>
      </c>
      <c r="P327" s="77">
        <v>0</v>
      </c>
      <c r="Q327" s="77">
        <v>0</v>
      </c>
      <c r="R327" s="77">
        <v>0</v>
      </c>
      <c r="S327" s="77">
        <v>0</v>
      </c>
      <c r="T327" s="77">
        <v>0</v>
      </c>
      <c r="U327" s="77">
        <v>0</v>
      </c>
      <c r="V327" s="77">
        <v>0</v>
      </c>
      <c r="W327" s="77">
        <v>0</v>
      </c>
      <c r="X327" s="77">
        <v>0</v>
      </c>
      <c r="Y327" s="77">
        <v>250000</v>
      </c>
      <c r="Z327" s="77">
        <f t="shared" si="105"/>
        <v>195527.42</v>
      </c>
      <c r="AA327" s="77">
        <v>0</v>
      </c>
      <c r="AB327" s="70">
        <v>2027</v>
      </c>
      <c r="AC327" s="70">
        <v>2027</v>
      </c>
      <c r="AD327" s="70">
        <v>2027</v>
      </c>
    </row>
    <row r="328" spans="1:30" x14ac:dyDescent="0.3">
      <c r="A328">
        <v>1</v>
      </c>
      <c r="B328" s="68">
        <f>SUBTOTAL(9,$A$189:A328)</f>
        <v>119</v>
      </c>
      <c r="C328" s="73" t="s">
        <v>236</v>
      </c>
      <c r="D328" s="79" t="s">
        <v>621</v>
      </c>
      <c r="E328" s="65">
        <f t="shared" si="104"/>
        <v>5836647.8300000001</v>
      </c>
      <c r="F328" s="77">
        <v>0</v>
      </c>
      <c r="G328" s="77">
        <v>0</v>
      </c>
      <c r="H328" s="77">
        <v>0</v>
      </c>
      <c r="I328" s="77">
        <v>0</v>
      </c>
      <c r="J328" s="77">
        <v>0</v>
      </c>
      <c r="K328" s="77">
        <v>0</v>
      </c>
      <c r="L328" s="155">
        <v>0</v>
      </c>
      <c r="M328" s="77">
        <v>0</v>
      </c>
      <c r="N328" s="95">
        <v>0</v>
      </c>
      <c r="O328" s="72">
        <v>0</v>
      </c>
      <c r="P328" s="77">
        <v>0</v>
      </c>
      <c r="Q328" s="77">
        <v>0</v>
      </c>
      <c r="R328" s="95">
        <v>508.56</v>
      </c>
      <c r="S328" s="72">
        <v>5553347.6200000001</v>
      </c>
      <c r="T328" s="77">
        <v>0</v>
      </c>
      <c r="U328" s="77">
        <v>0</v>
      </c>
      <c r="V328" s="77">
        <v>0</v>
      </c>
      <c r="W328" s="77">
        <v>0</v>
      </c>
      <c r="X328" s="77">
        <v>0</v>
      </c>
      <c r="Y328" s="77">
        <v>200000</v>
      </c>
      <c r="Z328" s="77">
        <f>ROUND(S328*1.5%,2)</f>
        <v>83300.210000000006</v>
      </c>
      <c r="AA328" s="77">
        <v>0</v>
      </c>
      <c r="AB328" s="70">
        <v>2027</v>
      </c>
      <c r="AC328" s="70">
        <v>2027</v>
      </c>
      <c r="AD328" s="70">
        <v>2027</v>
      </c>
    </row>
    <row r="329" spans="1:30" x14ac:dyDescent="0.3">
      <c r="B329" s="62" t="s">
        <v>670</v>
      </c>
      <c r="C329" s="62"/>
      <c r="D329" s="86"/>
      <c r="E329" s="5">
        <f>E330+E332+E331+E333</f>
        <v>31040912.140000001</v>
      </c>
      <c r="F329" s="5">
        <f t="shared" ref="F329:AA329" si="106">F330+F332+F331+F333</f>
        <v>0</v>
      </c>
      <c r="G329" s="5">
        <f t="shared" si="106"/>
        <v>0</v>
      </c>
      <c r="H329" s="5">
        <f t="shared" si="106"/>
        <v>0</v>
      </c>
      <c r="I329" s="5">
        <f t="shared" si="106"/>
        <v>0</v>
      </c>
      <c r="J329" s="5">
        <f t="shared" si="106"/>
        <v>0</v>
      </c>
      <c r="K329" s="5">
        <f t="shared" si="106"/>
        <v>0</v>
      </c>
      <c r="L329" s="155">
        <f t="shared" si="106"/>
        <v>0</v>
      </c>
      <c r="M329" s="5">
        <f t="shared" si="106"/>
        <v>0</v>
      </c>
      <c r="N329" s="5">
        <f t="shared" si="106"/>
        <v>2159.29</v>
      </c>
      <c r="O329" s="5">
        <f t="shared" si="106"/>
        <v>28060410.149999999</v>
      </c>
      <c r="P329" s="5">
        <f t="shared" si="106"/>
        <v>0</v>
      </c>
      <c r="Q329" s="5">
        <f t="shared" si="106"/>
        <v>0</v>
      </c>
      <c r="R329" s="5">
        <f t="shared" si="106"/>
        <v>0</v>
      </c>
      <c r="S329" s="5">
        <f t="shared" si="106"/>
        <v>0</v>
      </c>
      <c r="T329" s="5">
        <f t="shared" si="106"/>
        <v>0</v>
      </c>
      <c r="U329" s="5">
        <f t="shared" si="106"/>
        <v>0</v>
      </c>
      <c r="V329" s="5">
        <f t="shared" si="106"/>
        <v>0</v>
      </c>
      <c r="W329" s="5">
        <f t="shared" si="106"/>
        <v>0</v>
      </c>
      <c r="X329" s="5">
        <f t="shared" si="106"/>
        <v>1832114.13</v>
      </c>
      <c r="Y329" s="5">
        <f t="shared" si="106"/>
        <v>700000</v>
      </c>
      <c r="Z329" s="5">
        <f t="shared" si="106"/>
        <v>448387.86000000004</v>
      </c>
      <c r="AA329" s="5">
        <f t="shared" si="106"/>
        <v>0</v>
      </c>
      <c r="AB329" s="66" t="s">
        <v>423</v>
      </c>
      <c r="AC329" s="66" t="s">
        <v>423</v>
      </c>
      <c r="AD329" s="66" t="s">
        <v>423</v>
      </c>
    </row>
    <row r="330" spans="1:30" x14ac:dyDescent="0.3">
      <c r="A330">
        <v>1</v>
      </c>
      <c r="B330" s="68">
        <f>SUBTOTAL(9,$A$189:A330)</f>
        <v>120</v>
      </c>
      <c r="C330" s="73" t="s">
        <v>247</v>
      </c>
      <c r="D330" s="79" t="s">
        <v>622</v>
      </c>
      <c r="E330" s="65">
        <f>F330+G330+H330+I330+J330+K330+M330+O330+Q330+S330+U330+V330+W330+X330+Z330+AA330+Y330</f>
        <v>14582056.690000001</v>
      </c>
      <c r="F330" s="77">
        <v>0</v>
      </c>
      <c r="G330" s="77">
        <v>0</v>
      </c>
      <c r="H330" s="77">
        <v>0</v>
      </c>
      <c r="I330" s="77">
        <v>0</v>
      </c>
      <c r="J330" s="77">
        <v>0</v>
      </c>
      <c r="K330" s="77">
        <v>0</v>
      </c>
      <c r="L330" s="155">
        <v>0</v>
      </c>
      <c r="M330" s="77">
        <v>0</v>
      </c>
      <c r="N330" s="72">
        <v>1148.69</v>
      </c>
      <c r="O330" s="72">
        <v>14169513.98</v>
      </c>
      <c r="P330" s="77">
        <v>0</v>
      </c>
      <c r="Q330" s="77">
        <v>0</v>
      </c>
      <c r="R330" s="77">
        <v>0</v>
      </c>
      <c r="S330" s="77">
        <v>0</v>
      </c>
      <c r="T330" s="77">
        <v>0</v>
      </c>
      <c r="U330" s="77">
        <v>0</v>
      </c>
      <c r="V330" s="77">
        <v>0</v>
      </c>
      <c r="W330" s="77">
        <v>0</v>
      </c>
      <c r="X330" s="77">
        <v>0</v>
      </c>
      <c r="Y330" s="77">
        <v>200000</v>
      </c>
      <c r="Z330" s="77">
        <f>ROUND(O330*1.5%,2)</f>
        <v>212542.71</v>
      </c>
      <c r="AA330" s="77">
        <v>0</v>
      </c>
      <c r="AB330" s="70">
        <v>2027</v>
      </c>
      <c r="AC330" s="70">
        <v>2027</v>
      </c>
      <c r="AD330" s="70">
        <v>2027</v>
      </c>
    </row>
    <row r="331" spans="1:30" x14ac:dyDescent="0.3">
      <c r="A331">
        <v>1</v>
      </c>
      <c r="B331" s="68">
        <f>SUBTOTAL(9,$A$189:A331)</f>
        <v>121</v>
      </c>
      <c r="C331" s="73" t="s">
        <v>248</v>
      </c>
      <c r="D331" s="79" t="s">
        <v>622</v>
      </c>
      <c r="E331" s="65">
        <f>F331+G331+H331+I331+J331+K331+M331+O331+Q331+S331+U331+V331+W331+X331+Z331+AA331+Y331</f>
        <v>2009595.8399999999</v>
      </c>
      <c r="F331" s="77">
        <v>0</v>
      </c>
      <c r="G331" s="77">
        <v>0</v>
      </c>
      <c r="H331" s="77">
        <v>0</v>
      </c>
      <c r="I331" s="77">
        <v>0</v>
      </c>
      <c r="J331" s="77">
        <v>0</v>
      </c>
      <c r="K331" s="77">
        <v>0</v>
      </c>
      <c r="L331" s="155">
        <v>0</v>
      </c>
      <c r="M331" s="77">
        <v>0</v>
      </c>
      <c r="N331" s="65">
        <v>0</v>
      </c>
      <c r="O331" s="72">
        <v>0</v>
      </c>
      <c r="P331" s="77">
        <v>0</v>
      </c>
      <c r="Q331" s="77">
        <v>0</v>
      </c>
      <c r="R331" s="77">
        <v>0</v>
      </c>
      <c r="S331" s="77">
        <v>0</v>
      </c>
      <c r="T331" s="77">
        <v>0</v>
      </c>
      <c r="U331" s="77">
        <v>0</v>
      </c>
      <c r="V331" s="77">
        <v>0</v>
      </c>
      <c r="W331" s="77">
        <v>0</v>
      </c>
      <c r="X331" s="72">
        <v>1832114.13</v>
      </c>
      <c r="Y331" s="77">
        <v>150000</v>
      </c>
      <c r="Z331" s="77">
        <f>ROUND(X331*1.5%,2)</f>
        <v>27481.71</v>
      </c>
      <c r="AA331" s="77">
        <v>0</v>
      </c>
      <c r="AB331" s="70">
        <v>2027</v>
      </c>
      <c r="AC331" s="70">
        <v>2027</v>
      </c>
      <c r="AD331" s="70">
        <v>2027</v>
      </c>
    </row>
    <row r="332" spans="1:30" x14ac:dyDescent="0.3">
      <c r="A332">
        <v>1</v>
      </c>
      <c r="B332" s="68">
        <f>SUBTOTAL(9,$A$189:A332)</f>
        <v>122</v>
      </c>
      <c r="C332" s="73" t="s">
        <v>249</v>
      </c>
      <c r="D332" s="79" t="s">
        <v>622</v>
      </c>
      <c r="E332" s="65">
        <f t="shared" ref="E332:E333" si="107">F332+G332+H332+I332+J332+K332+M332+O332+Q332+S332+U332+V332+W332+X332+Z332+AA332+Y332</f>
        <v>5530096.8799999999</v>
      </c>
      <c r="F332" s="77">
        <v>0</v>
      </c>
      <c r="G332" s="77">
        <v>0</v>
      </c>
      <c r="H332" s="77">
        <v>0</v>
      </c>
      <c r="I332" s="77">
        <v>0</v>
      </c>
      <c r="J332" s="77">
        <v>0</v>
      </c>
      <c r="K332" s="77">
        <v>0</v>
      </c>
      <c r="L332" s="155">
        <v>0</v>
      </c>
      <c r="M332" s="77">
        <v>0</v>
      </c>
      <c r="N332" s="72">
        <v>308</v>
      </c>
      <c r="O332" s="72">
        <v>5300588.0599999996</v>
      </c>
      <c r="P332" s="77">
        <v>0</v>
      </c>
      <c r="Q332" s="77">
        <v>0</v>
      </c>
      <c r="R332" s="77">
        <v>0</v>
      </c>
      <c r="S332" s="77">
        <v>0</v>
      </c>
      <c r="T332" s="77">
        <v>0</v>
      </c>
      <c r="U332" s="77">
        <v>0</v>
      </c>
      <c r="V332" s="77">
        <v>0</v>
      </c>
      <c r="W332" s="77">
        <v>0</v>
      </c>
      <c r="X332" s="77">
        <v>0</v>
      </c>
      <c r="Y332" s="77">
        <v>150000</v>
      </c>
      <c r="Z332" s="77">
        <f t="shared" ref="Z332:Z333" si="108">ROUND(O332*1.5%,2)</f>
        <v>79508.820000000007</v>
      </c>
      <c r="AA332" s="77">
        <v>0</v>
      </c>
      <c r="AB332" s="70">
        <v>2027</v>
      </c>
      <c r="AC332" s="70">
        <v>2027</v>
      </c>
      <c r="AD332" s="70">
        <v>2027</v>
      </c>
    </row>
    <row r="333" spans="1:30" x14ac:dyDescent="0.3">
      <c r="A333">
        <v>1</v>
      </c>
      <c r="B333" s="68">
        <f>SUBTOTAL(9,$A$189:A333)</f>
        <v>123</v>
      </c>
      <c r="C333" s="73" t="s">
        <v>250</v>
      </c>
      <c r="D333" s="79" t="s">
        <v>622</v>
      </c>
      <c r="E333" s="65">
        <f t="shared" si="107"/>
        <v>8919162.7299999986</v>
      </c>
      <c r="F333" s="77">
        <v>0</v>
      </c>
      <c r="G333" s="77">
        <v>0</v>
      </c>
      <c r="H333" s="77">
        <v>0</v>
      </c>
      <c r="I333" s="77">
        <v>0</v>
      </c>
      <c r="J333" s="77">
        <v>0</v>
      </c>
      <c r="K333" s="77">
        <v>0</v>
      </c>
      <c r="L333" s="155">
        <v>0</v>
      </c>
      <c r="M333" s="77">
        <v>0</v>
      </c>
      <c r="N333" s="72">
        <v>702.6</v>
      </c>
      <c r="O333" s="72">
        <v>8590308.1099999994</v>
      </c>
      <c r="P333" s="77">
        <v>0</v>
      </c>
      <c r="Q333" s="77">
        <v>0</v>
      </c>
      <c r="R333" s="77">
        <v>0</v>
      </c>
      <c r="S333" s="77">
        <v>0</v>
      </c>
      <c r="T333" s="77">
        <v>0</v>
      </c>
      <c r="U333" s="77">
        <v>0</v>
      </c>
      <c r="V333" s="77">
        <v>0</v>
      </c>
      <c r="W333" s="77">
        <v>0</v>
      </c>
      <c r="X333" s="77">
        <v>0</v>
      </c>
      <c r="Y333" s="77">
        <v>200000</v>
      </c>
      <c r="Z333" s="77">
        <f t="shared" si="108"/>
        <v>128854.62</v>
      </c>
      <c r="AA333" s="77">
        <v>0</v>
      </c>
      <c r="AB333" s="70">
        <v>2027</v>
      </c>
      <c r="AC333" s="70">
        <v>2027</v>
      </c>
      <c r="AD333" s="70">
        <v>2027</v>
      </c>
    </row>
    <row r="334" spans="1:30" x14ac:dyDescent="0.3">
      <c r="B334" s="62" t="s">
        <v>265</v>
      </c>
      <c r="C334" s="62"/>
      <c r="D334" s="86"/>
      <c r="E334" s="5">
        <f>E335+E336</f>
        <v>21513820</v>
      </c>
      <c r="F334" s="77">
        <f t="shared" ref="F334:AA334" si="109">F335+F336</f>
        <v>0</v>
      </c>
      <c r="G334" s="77">
        <f t="shared" si="109"/>
        <v>0</v>
      </c>
      <c r="H334" s="77">
        <f t="shared" si="109"/>
        <v>0</v>
      </c>
      <c r="I334" s="77">
        <f t="shared" si="109"/>
        <v>0</v>
      </c>
      <c r="J334" s="77">
        <f t="shared" si="109"/>
        <v>0</v>
      </c>
      <c r="K334" s="77">
        <f t="shared" si="109"/>
        <v>0</v>
      </c>
      <c r="L334" s="155">
        <f t="shared" si="109"/>
        <v>0</v>
      </c>
      <c r="M334" s="77">
        <f t="shared" si="109"/>
        <v>0</v>
      </c>
      <c r="N334" s="77">
        <f t="shared" si="109"/>
        <v>2196</v>
      </c>
      <c r="O334" s="77">
        <f t="shared" si="109"/>
        <v>21195881.77</v>
      </c>
      <c r="P334" s="77">
        <f t="shared" si="109"/>
        <v>0</v>
      </c>
      <c r="Q334" s="77">
        <f t="shared" si="109"/>
        <v>0</v>
      </c>
      <c r="R334" s="77">
        <f t="shared" si="109"/>
        <v>0</v>
      </c>
      <c r="S334" s="77">
        <f t="shared" si="109"/>
        <v>0</v>
      </c>
      <c r="T334" s="77">
        <f t="shared" si="109"/>
        <v>0</v>
      </c>
      <c r="U334" s="77">
        <f t="shared" si="109"/>
        <v>0</v>
      </c>
      <c r="V334" s="77">
        <f t="shared" si="109"/>
        <v>0</v>
      </c>
      <c r="W334" s="77">
        <f t="shared" si="109"/>
        <v>0</v>
      </c>
      <c r="X334" s="77">
        <f t="shared" si="109"/>
        <v>0</v>
      </c>
      <c r="Y334" s="77">
        <f t="shared" si="109"/>
        <v>0</v>
      </c>
      <c r="Z334" s="77">
        <f t="shared" si="109"/>
        <v>317938.23</v>
      </c>
      <c r="AA334" s="77">
        <f t="shared" si="109"/>
        <v>0</v>
      </c>
      <c r="AB334" s="66" t="s">
        <v>423</v>
      </c>
      <c r="AC334" s="66" t="s">
        <v>423</v>
      </c>
      <c r="AD334" s="66" t="s">
        <v>423</v>
      </c>
    </row>
    <row r="335" spans="1:30" x14ac:dyDescent="0.3">
      <c r="A335">
        <v>1</v>
      </c>
      <c r="B335" s="68">
        <f>SUBTOTAL(9,$A$189:A335)</f>
        <v>124</v>
      </c>
      <c r="C335" s="73" t="s">
        <v>258</v>
      </c>
      <c r="D335" s="79" t="s">
        <v>623</v>
      </c>
      <c r="E335" s="65">
        <f t="shared" ref="E335:E336" si="110">F335+G335+H335+I335+J335+K335+M335+O335+Q335+S335+U335+V335+W335+X335+Z335+AA335+Y335</f>
        <v>10000000</v>
      </c>
      <c r="F335" s="77">
        <v>0</v>
      </c>
      <c r="G335" s="77">
        <v>0</v>
      </c>
      <c r="H335" s="77">
        <v>0</v>
      </c>
      <c r="I335" s="77">
        <v>0</v>
      </c>
      <c r="J335" s="77">
        <v>0</v>
      </c>
      <c r="K335" s="77">
        <v>0</v>
      </c>
      <c r="L335" s="155">
        <v>0</v>
      </c>
      <c r="M335" s="77">
        <v>0</v>
      </c>
      <c r="N335" s="72">
        <v>1188</v>
      </c>
      <c r="O335" s="72">
        <v>9852216.75</v>
      </c>
      <c r="P335" s="77">
        <v>0</v>
      </c>
      <c r="Q335" s="77">
        <v>0</v>
      </c>
      <c r="R335" s="77">
        <v>0</v>
      </c>
      <c r="S335" s="77">
        <v>0</v>
      </c>
      <c r="T335" s="77">
        <v>0</v>
      </c>
      <c r="U335" s="77">
        <v>0</v>
      </c>
      <c r="V335" s="77">
        <v>0</v>
      </c>
      <c r="W335" s="77">
        <v>0</v>
      </c>
      <c r="X335" s="77">
        <v>0</v>
      </c>
      <c r="Y335" s="77">
        <v>0</v>
      </c>
      <c r="Z335" s="77">
        <f t="shared" ref="Z335:Z336" si="111">ROUND(O335*1.5%,2)</f>
        <v>147783.25</v>
      </c>
      <c r="AA335" s="77">
        <v>0</v>
      </c>
      <c r="AB335" s="66" t="s">
        <v>426</v>
      </c>
      <c r="AC335" s="70">
        <v>2027</v>
      </c>
      <c r="AD335" s="70">
        <v>2027</v>
      </c>
    </row>
    <row r="336" spans="1:30" x14ac:dyDescent="0.3">
      <c r="A336">
        <v>1</v>
      </c>
      <c r="B336" s="68">
        <f>SUBTOTAL(9,$A$189:A336)</f>
        <v>125</v>
      </c>
      <c r="C336" s="73" t="s">
        <v>259</v>
      </c>
      <c r="D336" s="79" t="s">
        <v>623</v>
      </c>
      <c r="E336" s="65">
        <f t="shared" si="110"/>
        <v>11513820</v>
      </c>
      <c r="F336" s="77">
        <v>0</v>
      </c>
      <c r="G336" s="77">
        <v>0</v>
      </c>
      <c r="H336" s="77">
        <v>0</v>
      </c>
      <c r="I336" s="77">
        <v>0</v>
      </c>
      <c r="J336" s="77">
        <v>0</v>
      </c>
      <c r="K336" s="77">
        <v>0</v>
      </c>
      <c r="L336" s="155">
        <v>0</v>
      </c>
      <c r="M336" s="77">
        <v>0</v>
      </c>
      <c r="N336" s="72">
        <v>1008</v>
      </c>
      <c r="O336" s="72">
        <v>11343665.02</v>
      </c>
      <c r="P336" s="77">
        <v>0</v>
      </c>
      <c r="Q336" s="77">
        <v>0</v>
      </c>
      <c r="R336" s="77">
        <v>0</v>
      </c>
      <c r="S336" s="77">
        <v>0</v>
      </c>
      <c r="T336" s="77">
        <v>0</v>
      </c>
      <c r="U336" s="77">
        <v>0</v>
      </c>
      <c r="V336" s="77">
        <v>0</v>
      </c>
      <c r="W336" s="77">
        <v>0</v>
      </c>
      <c r="X336" s="77">
        <v>0</v>
      </c>
      <c r="Y336" s="77">
        <v>0</v>
      </c>
      <c r="Z336" s="77">
        <f t="shared" si="111"/>
        <v>170154.98</v>
      </c>
      <c r="AA336" s="77">
        <v>0</v>
      </c>
      <c r="AB336" s="66" t="s">
        <v>426</v>
      </c>
      <c r="AC336" s="70">
        <v>2027</v>
      </c>
      <c r="AD336" s="70">
        <v>2027</v>
      </c>
    </row>
    <row r="337" spans="1:30" x14ac:dyDescent="0.3">
      <c r="B337" s="62" t="s">
        <v>695</v>
      </c>
      <c r="C337" s="62"/>
      <c r="D337" s="86"/>
      <c r="E337" s="5">
        <f>E338</f>
        <v>20962927.559999999</v>
      </c>
      <c r="F337" s="77">
        <f t="shared" ref="F337:AA337" si="112">F338</f>
        <v>0</v>
      </c>
      <c r="G337" s="77">
        <f t="shared" si="112"/>
        <v>0</v>
      </c>
      <c r="H337" s="77">
        <f t="shared" si="112"/>
        <v>0</v>
      </c>
      <c r="I337" s="77">
        <f t="shared" si="112"/>
        <v>0</v>
      </c>
      <c r="J337" s="77">
        <f t="shared" si="112"/>
        <v>0</v>
      </c>
      <c r="K337" s="77">
        <f t="shared" si="112"/>
        <v>0</v>
      </c>
      <c r="L337" s="155">
        <f t="shared" si="112"/>
        <v>0</v>
      </c>
      <c r="M337" s="77">
        <f t="shared" si="112"/>
        <v>0</v>
      </c>
      <c r="N337" s="77">
        <f t="shared" si="112"/>
        <v>1746</v>
      </c>
      <c r="O337" s="77">
        <f t="shared" si="112"/>
        <v>20456086.27</v>
      </c>
      <c r="P337" s="77">
        <f t="shared" si="112"/>
        <v>0</v>
      </c>
      <c r="Q337" s="77">
        <f t="shared" si="112"/>
        <v>0</v>
      </c>
      <c r="R337" s="77">
        <f t="shared" si="112"/>
        <v>0</v>
      </c>
      <c r="S337" s="77">
        <f t="shared" si="112"/>
        <v>0</v>
      </c>
      <c r="T337" s="77">
        <f t="shared" si="112"/>
        <v>0</v>
      </c>
      <c r="U337" s="77">
        <f t="shared" si="112"/>
        <v>0</v>
      </c>
      <c r="V337" s="77">
        <f t="shared" si="112"/>
        <v>0</v>
      </c>
      <c r="W337" s="77">
        <f t="shared" si="112"/>
        <v>0</v>
      </c>
      <c r="X337" s="77">
        <f t="shared" si="112"/>
        <v>0</v>
      </c>
      <c r="Y337" s="77">
        <f t="shared" si="112"/>
        <v>200000</v>
      </c>
      <c r="Z337" s="77">
        <f t="shared" si="112"/>
        <v>306841.28999999998</v>
      </c>
      <c r="AA337" s="77">
        <f t="shared" si="112"/>
        <v>0</v>
      </c>
      <c r="AB337" s="66" t="s">
        <v>423</v>
      </c>
      <c r="AC337" s="66" t="s">
        <v>423</v>
      </c>
      <c r="AD337" s="66" t="s">
        <v>423</v>
      </c>
    </row>
    <row r="338" spans="1:30" x14ac:dyDescent="0.3">
      <c r="A338">
        <v>1</v>
      </c>
      <c r="B338" s="68">
        <f>SUBTOTAL(9,$A$189:A338)</f>
        <v>126</v>
      </c>
      <c r="C338" s="73" t="s">
        <v>271</v>
      </c>
      <c r="D338" s="79" t="s">
        <v>624</v>
      </c>
      <c r="E338" s="65">
        <f>F338+G338+H338+I338+J338+K338+M338+O338+Q338+S338+U338+V338+W338+X338+Z338+AA338+Y338</f>
        <v>20962927.559999999</v>
      </c>
      <c r="F338" s="77">
        <v>0</v>
      </c>
      <c r="G338" s="77">
        <v>0</v>
      </c>
      <c r="H338" s="77">
        <v>0</v>
      </c>
      <c r="I338" s="77">
        <v>0</v>
      </c>
      <c r="J338" s="77">
        <v>0</v>
      </c>
      <c r="K338" s="77">
        <v>0</v>
      </c>
      <c r="L338" s="155">
        <v>0</v>
      </c>
      <c r="M338" s="77">
        <v>0</v>
      </c>
      <c r="N338" s="65">
        <v>1746</v>
      </c>
      <c r="O338" s="72">
        <v>20456086.27</v>
      </c>
      <c r="P338" s="77">
        <v>0</v>
      </c>
      <c r="Q338" s="77">
        <v>0</v>
      </c>
      <c r="R338" s="77">
        <v>0</v>
      </c>
      <c r="S338" s="77">
        <v>0</v>
      </c>
      <c r="T338" s="77">
        <v>0</v>
      </c>
      <c r="U338" s="77">
        <v>0</v>
      </c>
      <c r="V338" s="77">
        <v>0</v>
      </c>
      <c r="W338" s="77">
        <v>0</v>
      </c>
      <c r="X338" s="77">
        <v>0</v>
      </c>
      <c r="Y338" s="77">
        <v>200000</v>
      </c>
      <c r="Z338" s="77">
        <f>ROUND(O338*1.5%,2)</f>
        <v>306841.28999999998</v>
      </c>
      <c r="AA338" s="77">
        <v>0</v>
      </c>
      <c r="AB338" s="70">
        <v>2027</v>
      </c>
      <c r="AC338" s="70">
        <v>2027</v>
      </c>
      <c r="AD338" s="70">
        <v>2027</v>
      </c>
    </row>
    <row r="339" spans="1:30" x14ac:dyDescent="0.3">
      <c r="B339" s="62" t="s">
        <v>518</v>
      </c>
      <c r="C339" s="63"/>
      <c r="D339" s="64"/>
      <c r="E339" s="65">
        <f t="shared" ref="E339:AA339" si="113">E340+E368+E374+E388+E400+E414+E418+E420+E422+E425+E428+E430+E438+E442+E451+E453+E459+E463+E465+E471+E478+E480+E482+E484+E486</f>
        <v>1390821338.6099999</v>
      </c>
      <c r="F339" s="65">
        <f t="shared" si="113"/>
        <v>365546.55</v>
      </c>
      <c r="G339" s="65">
        <f t="shared" si="113"/>
        <v>0</v>
      </c>
      <c r="H339" s="65">
        <f t="shared" si="113"/>
        <v>1641243.74</v>
      </c>
      <c r="I339" s="65">
        <f t="shared" si="113"/>
        <v>2380408.96</v>
      </c>
      <c r="J339" s="65">
        <f t="shared" si="113"/>
        <v>0</v>
      </c>
      <c r="K339" s="65">
        <f t="shared" si="113"/>
        <v>0</v>
      </c>
      <c r="L339" s="152">
        <f t="shared" si="113"/>
        <v>7</v>
      </c>
      <c r="M339" s="65">
        <f t="shared" si="113"/>
        <v>28964843.850000001</v>
      </c>
      <c r="N339" s="65">
        <f t="shared" si="113"/>
        <v>100805.49758999998</v>
      </c>
      <c r="O339" s="65">
        <f t="shared" si="113"/>
        <v>1255470035.4999998</v>
      </c>
      <c r="P339" s="65">
        <f t="shared" si="113"/>
        <v>0</v>
      </c>
      <c r="Q339" s="65">
        <f t="shared" si="113"/>
        <v>0</v>
      </c>
      <c r="R339" s="65">
        <f t="shared" si="113"/>
        <v>4405.96</v>
      </c>
      <c r="S339" s="65">
        <f t="shared" si="113"/>
        <v>47167349.090000004</v>
      </c>
      <c r="T339" s="65">
        <f t="shared" si="113"/>
        <v>0</v>
      </c>
      <c r="U339" s="65">
        <f t="shared" si="113"/>
        <v>0</v>
      </c>
      <c r="V339" s="65">
        <f t="shared" si="113"/>
        <v>7409370.6399999997</v>
      </c>
      <c r="W339" s="65">
        <f t="shared" si="113"/>
        <v>0</v>
      </c>
      <c r="X339" s="65">
        <f t="shared" si="113"/>
        <v>0</v>
      </c>
      <c r="Y339" s="65">
        <f t="shared" si="113"/>
        <v>25230000</v>
      </c>
      <c r="Z339" s="65">
        <f t="shared" si="113"/>
        <v>22072540.280000001</v>
      </c>
      <c r="AA339" s="65">
        <f t="shared" si="113"/>
        <v>120000</v>
      </c>
      <c r="AB339" s="66" t="s">
        <v>423</v>
      </c>
      <c r="AC339" s="66" t="s">
        <v>423</v>
      </c>
      <c r="AD339" s="66" t="s">
        <v>423</v>
      </c>
    </row>
    <row r="340" spans="1:30" x14ac:dyDescent="0.3">
      <c r="B340" s="62" t="s">
        <v>414</v>
      </c>
      <c r="C340" s="63"/>
      <c r="D340" s="64"/>
      <c r="E340" s="65">
        <f>SUM(E341:E367)</f>
        <v>333700934.19999999</v>
      </c>
      <c r="F340" s="65">
        <f t="shared" ref="F340:AA340" si="114">SUM(F341:F367)</f>
        <v>0</v>
      </c>
      <c r="G340" s="65">
        <f t="shared" si="114"/>
        <v>0</v>
      </c>
      <c r="H340" s="65">
        <f t="shared" si="114"/>
        <v>0</v>
      </c>
      <c r="I340" s="65">
        <f t="shared" si="114"/>
        <v>0</v>
      </c>
      <c r="J340" s="65">
        <f t="shared" si="114"/>
        <v>0</v>
      </c>
      <c r="K340" s="65">
        <f t="shared" si="114"/>
        <v>0</v>
      </c>
      <c r="L340" s="152">
        <f>SUM(L341:L367)</f>
        <v>5</v>
      </c>
      <c r="M340" s="65">
        <f t="shared" si="114"/>
        <v>21007638.920000002</v>
      </c>
      <c r="N340" s="65">
        <f t="shared" si="114"/>
        <v>21293.66</v>
      </c>
      <c r="O340" s="65">
        <f t="shared" si="114"/>
        <v>257254128.33999997</v>
      </c>
      <c r="P340" s="65">
        <f t="shared" si="114"/>
        <v>0</v>
      </c>
      <c r="Q340" s="65">
        <f t="shared" si="114"/>
        <v>0</v>
      </c>
      <c r="R340" s="65">
        <f t="shared" si="114"/>
        <v>4018.96</v>
      </c>
      <c r="S340" s="65">
        <f t="shared" si="114"/>
        <v>42988849.420000002</v>
      </c>
      <c r="T340" s="65">
        <f t="shared" si="114"/>
        <v>0</v>
      </c>
      <c r="U340" s="65">
        <f t="shared" si="114"/>
        <v>0</v>
      </c>
      <c r="V340" s="65">
        <f t="shared" si="114"/>
        <v>0</v>
      </c>
      <c r="W340" s="65">
        <f t="shared" si="114"/>
        <v>0</v>
      </c>
      <c r="X340" s="65">
        <f t="shared" si="114"/>
        <v>0</v>
      </c>
      <c r="Y340" s="65">
        <f t="shared" si="114"/>
        <v>5710000</v>
      </c>
      <c r="Z340" s="65">
        <f t="shared" si="114"/>
        <v>6740317.5200000005</v>
      </c>
      <c r="AA340" s="65">
        <f t="shared" si="114"/>
        <v>0</v>
      </c>
      <c r="AB340" s="66" t="s">
        <v>423</v>
      </c>
      <c r="AC340" s="66" t="s">
        <v>423</v>
      </c>
      <c r="AD340" s="66" t="s">
        <v>423</v>
      </c>
    </row>
    <row r="341" spans="1:30" x14ac:dyDescent="0.25">
      <c r="A341">
        <v>1</v>
      </c>
      <c r="B341" s="68">
        <f>SUBTOTAL(9,$A$341:A341)</f>
        <v>1</v>
      </c>
      <c r="C341" s="73" t="s">
        <v>84</v>
      </c>
      <c r="D341" s="79" t="s">
        <v>113</v>
      </c>
      <c r="E341" s="65">
        <f t="shared" ref="E341:E350" si="115">F341+G341+H341+I341+J341+K341+M341+O341+Q341+S341+U341+V341+W341+X341+Y341+Z341+AA341</f>
        <v>2845203.85</v>
      </c>
      <c r="F341" s="71">
        <v>0</v>
      </c>
      <c r="G341" s="71">
        <v>0</v>
      </c>
      <c r="H341" s="71">
        <v>0</v>
      </c>
      <c r="I341" s="71">
        <v>0</v>
      </c>
      <c r="J341" s="71">
        <v>0</v>
      </c>
      <c r="K341" s="71">
        <v>0</v>
      </c>
      <c r="L341" s="153">
        <v>0</v>
      </c>
      <c r="M341" s="71">
        <v>0</v>
      </c>
      <c r="N341" s="71">
        <v>220</v>
      </c>
      <c r="O341" s="72">
        <v>2638734.92</v>
      </c>
      <c r="P341" s="71">
        <v>0</v>
      </c>
      <c r="Q341" s="71">
        <v>0</v>
      </c>
      <c r="R341" s="71">
        <v>0</v>
      </c>
      <c r="S341" s="71">
        <v>0</v>
      </c>
      <c r="T341" s="71">
        <v>0</v>
      </c>
      <c r="U341" s="71">
        <v>0</v>
      </c>
      <c r="V341" s="71">
        <v>0</v>
      </c>
      <c r="W341" s="71">
        <v>0</v>
      </c>
      <c r="X341" s="71">
        <v>0</v>
      </c>
      <c r="Y341" s="72">
        <v>150000</v>
      </c>
      <c r="Z341" s="72">
        <v>56468.93</v>
      </c>
      <c r="AA341" s="71">
        <v>0</v>
      </c>
      <c r="AB341" s="70">
        <v>2028</v>
      </c>
      <c r="AC341" s="70">
        <v>2028</v>
      </c>
      <c r="AD341" s="70">
        <v>2028</v>
      </c>
    </row>
    <row r="342" spans="1:30" x14ac:dyDescent="0.25">
      <c r="A342">
        <v>1</v>
      </c>
      <c r="B342" s="68">
        <f>SUBTOTAL(9,$A$341:A342)</f>
        <v>2</v>
      </c>
      <c r="C342" s="73" t="s">
        <v>85</v>
      </c>
      <c r="D342" s="79" t="s">
        <v>113</v>
      </c>
      <c r="E342" s="65">
        <f t="shared" si="115"/>
        <v>10179912.560000001</v>
      </c>
      <c r="F342" s="71">
        <v>0</v>
      </c>
      <c r="G342" s="71">
        <v>0</v>
      </c>
      <c r="H342" s="71">
        <v>0</v>
      </c>
      <c r="I342" s="71">
        <v>0</v>
      </c>
      <c r="J342" s="71">
        <v>0</v>
      </c>
      <c r="K342" s="71">
        <v>0</v>
      </c>
      <c r="L342" s="153">
        <v>0</v>
      </c>
      <c r="M342" s="71">
        <v>0</v>
      </c>
      <c r="N342" s="65">
        <v>567</v>
      </c>
      <c r="O342" s="65">
        <v>9770817.0999999996</v>
      </c>
      <c r="P342" s="71">
        <v>0</v>
      </c>
      <c r="Q342" s="71">
        <v>0</v>
      </c>
      <c r="R342" s="71">
        <v>0</v>
      </c>
      <c r="S342" s="71">
        <v>0</v>
      </c>
      <c r="T342" s="71">
        <v>0</v>
      </c>
      <c r="U342" s="71">
        <v>0</v>
      </c>
      <c r="V342" s="71">
        <v>0</v>
      </c>
      <c r="W342" s="71">
        <v>0</v>
      </c>
      <c r="X342" s="71">
        <v>0</v>
      </c>
      <c r="Y342" s="72">
        <v>200000</v>
      </c>
      <c r="Z342" s="74">
        <v>209095.46</v>
      </c>
      <c r="AA342" s="71">
        <v>0</v>
      </c>
      <c r="AB342" s="70">
        <v>2028</v>
      </c>
      <c r="AC342" s="70">
        <v>2028</v>
      </c>
      <c r="AD342" s="70">
        <v>2028</v>
      </c>
    </row>
    <row r="343" spans="1:30" x14ac:dyDescent="0.25">
      <c r="A343">
        <v>1</v>
      </c>
      <c r="B343" s="68">
        <f>SUBTOTAL(9,$A$341:A343)</f>
        <v>3</v>
      </c>
      <c r="C343" s="73" t="s">
        <v>96</v>
      </c>
      <c r="D343" s="79" t="s">
        <v>113</v>
      </c>
      <c r="E343" s="65">
        <f t="shared" si="115"/>
        <v>9914029.1199999992</v>
      </c>
      <c r="F343" s="71">
        <v>0</v>
      </c>
      <c r="G343" s="71">
        <v>0</v>
      </c>
      <c r="H343" s="71">
        <v>0</v>
      </c>
      <c r="I343" s="71">
        <v>0</v>
      </c>
      <c r="J343" s="71">
        <v>0</v>
      </c>
      <c r="K343" s="71">
        <v>0</v>
      </c>
      <c r="L343" s="153">
        <v>0</v>
      </c>
      <c r="M343" s="71">
        <v>0</v>
      </c>
      <c r="N343" s="65">
        <v>822.7</v>
      </c>
      <c r="O343" s="65">
        <v>9706309.6099999994</v>
      </c>
      <c r="P343" s="71">
        <v>0</v>
      </c>
      <c r="Q343" s="71">
        <v>0</v>
      </c>
      <c r="R343" s="71">
        <v>0</v>
      </c>
      <c r="S343" s="71">
        <v>0</v>
      </c>
      <c r="T343" s="71">
        <v>0</v>
      </c>
      <c r="U343" s="71">
        <v>0</v>
      </c>
      <c r="V343" s="71">
        <v>0</v>
      </c>
      <c r="W343" s="71">
        <v>0</v>
      </c>
      <c r="X343" s="71">
        <v>0</v>
      </c>
      <c r="Y343" s="72">
        <v>0</v>
      </c>
      <c r="Z343" s="72">
        <v>207719.51</v>
      </c>
      <c r="AA343" s="71">
        <v>0</v>
      </c>
      <c r="AB343" s="66" t="s">
        <v>426</v>
      </c>
      <c r="AC343" s="70">
        <v>2028</v>
      </c>
      <c r="AD343" s="70">
        <v>2028</v>
      </c>
    </row>
    <row r="344" spans="1:30" x14ac:dyDescent="0.25">
      <c r="A344">
        <v>1</v>
      </c>
      <c r="B344" s="68">
        <f>SUBTOTAL(9,$A$341:A344)</f>
        <v>4</v>
      </c>
      <c r="C344" s="73" t="s">
        <v>87</v>
      </c>
      <c r="D344" s="79" t="s">
        <v>113</v>
      </c>
      <c r="E344" s="65">
        <f t="shared" si="115"/>
        <v>15519264.18</v>
      </c>
      <c r="F344" s="71">
        <v>0</v>
      </c>
      <c r="G344" s="71">
        <v>0</v>
      </c>
      <c r="H344" s="71">
        <v>0</v>
      </c>
      <c r="I344" s="71">
        <v>0</v>
      </c>
      <c r="J344" s="71">
        <v>0</v>
      </c>
      <c r="K344" s="71">
        <v>0</v>
      </c>
      <c r="L344" s="153">
        <v>0</v>
      </c>
      <c r="M344" s="71">
        <v>0</v>
      </c>
      <c r="N344" s="72">
        <v>1200</v>
      </c>
      <c r="O344" s="72">
        <v>14978719.58</v>
      </c>
      <c r="P344" s="71">
        <v>0</v>
      </c>
      <c r="Q344" s="71">
        <v>0</v>
      </c>
      <c r="R344" s="72">
        <v>0</v>
      </c>
      <c r="S344" s="72">
        <v>0</v>
      </c>
      <c r="T344" s="71">
        <v>0</v>
      </c>
      <c r="U344" s="71">
        <v>0</v>
      </c>
      <c r="V344" s="71">
        <v>0</v>
      </c>
      <c r="W344" s="71">
        <v>0</v>
      </c>
      <c r="X344" s="71">
        <v>0</v>
      </c>
      <c r="Y344" s="72">
        <v>220000</v>
      </c>
      <c r="Z344" s="74">
        <v>320544.59999999998</v>
      </c>
      <c r="AA344" s="71">
        <v>0</v>
      </c>
      <c r="AB344" s="70">
        <v>2028</v>
      </c>
      <c r="AC344" s="70">
        <v>2028</v>
      </c>
      <c r="AD344" s="70">
        <v>2028</v>
      </c>
    </row>
    <row r="345" spans="1:30" x14ac:dyDescent="0.25">
      <c r="A345">
        <v>1</v>
      </c>
      <c r="B345" s="68">
        <f>SUBTOTAL(9,$A$341:A345)</f>
        <v>5</v>
      </c>
      <c r="C345" s="73" t="s">
        <v>88</v>
      </c>
      <c r="D345" s="79" t="s">
        <v>113</v>
      </c>
      <c r="E345" s="65">
        <f t="shared" si="115"/>
        <v>11966100</v>
      </c>
      <c r="F345" s="71">
        <v>0</v>
      </c>
      <c r="G345" s="71">
        <v>0</v>
      </c>
      <c r="H345" s="71">
        <v>0</v>
      </c>
      <c r="I345" s="71">
        <v>0</v>
      </c>
      <c r="J345" s="71">
        <v>0</v>
      </c>
      <c r="K345" s="71">
        <v>0</v>
      </c>
      <c r="L345" s="153">
        <v>0</v>
      </c>
      <c r="M345" s="71">
        <v>0</v>
      </c>
      <c r="N345" s="65">
        <v>1065</v>
      </c>
      <c r="O345" s="65">
        <v>11500000</v>
      </c>
      <c r="P345" s="71">
        <v>0</v>
      </c>
      <c r="Q345" s="71">
        <v>0</v>
      </c>
      <c r="R345" s="71">
        <v>0</v>
      </c>
      <c r="S345" s="71">
        <v>0</v>
      </c>
      <c r="T345" s="71">
        <v>0</v>
      </c>
      <c r="U345" s="71">
        <v>0</v>
      </c>
      <c r="V345" s="71">
        <v>0</v>
      </c>
      <c r="W345" s="71">
        <v>0</v>
      </c>
      <c r="X345" s="71">
        <v>0</v>
      </c>
      <c r="Y345" s="72">
        <v>220000</v>
      </c>
      <c r="Z345" s="74">
        <v>246100</v>
      </c>
      <c r="AA345" s="71">
        <v>0</v>
      </c>
      <c r="AB345" s="70">
        <v>2028</v>
      </c>
      <c r="AC345" s="70">
        <v>2028</v>
      </c>
      <c r="AD345" s="70">
        <v>2028</v>
      </c>
    </row>
    <row r="346" spans="1:30" x14ac:dyDescent="0.25">
      <c r="A346">
        <v>1</v>
      </c>
      <c r="B346" s="68">
        <f>SUBTOTAL(9,$A$341:A346)</f>
        <v>6</v>
      </c>
      <c r="C346" s="73" t="s">
        <v>90</v>
      </c>
      <c r="D346" s="79" t="s">
        <v>113</v>
      </c>
      <c r="E346" s="65">
        <f t="shared" si="115"/>
        <v>30431300</v>
      </c>
      <c r="F346" s="65">
        <v>0</v>
      </c>
      <c r="G346" s="65">
        <v>0</v>
      </c>
      <c r="H346" s="65">
        <v>0</v>
      </c>
      <c r="I346" s="65">
        <v>0</v>
      </c>
      <c r="J346" s="65">
        <v>0</v>
      </c>
      <c r="K346" s="65">
        <v>0</v>
      </c>
      <c r="L346" s="152">
        <v>0</v>
      </c>
      <c r="M346" s="65">
        <v>0</v>
      </c>
      <c r="N346" s="72">
        <v>2649.66</v>
      </c>
      <c r="O346" s="72">
        <v>29500000</v>
      </c>
      <c r="P346" s="65">
        <v>0</v>
      </c>
      <c r="Q346" s="65">
        <v>0</v>
      </c>
      <c r="R346" s="65">
        <v>0</v>
      </c>
      <c r="S346" s="65">
        <v>0</v>
      </c>
      <c r="T346" s="71">
        <v>0</v>
      </c>
      <c r="U346" s="71">
        <v>0</v>
      </c>
      <c r="V346" s="71">
        <v>0</v>
      </c>
      <c r="W346" s="71">
        <v>0</v>
      </c>
      <c r="X346" s="71">
        <v>0</v>
      </c>
      <c r="Y346" s="72">
        <v>300000</v>
      </c>
      <c r="Z346" s="72">
        <v>631300</v>
      </c>
      <c r="AA346" s="71">
        <v>0</v>
      </c>
      <c r="AB346" s="70">
        <v>2028</v>
      </c>
      <c r="AC346" s="70">
        <v>2028</v>
      </c>
      <c r="AD346" s="70">
        <v>2028</v>
      </c>
    </row>
    <row r="347" spans="1:30" x14ac:dyDescent="0.25">
      <c r="A347">
        <v>1</v>
      </c>
      <c r="B347" s="68">
        <f>SUBTOTAL(9,$A$341:A347)</f>
        <v>7</v>
      </c>
      <c r="C347" s="73" t="s">
        <v>91</v>
      </c>
      <c r="D347" s="79" t="s">
        <v>113</v>
      </c>
      <c r="E347" s="65">
        <f t="shared" si="115"/>
        <v>14280629.119999999</v>
      </c>
      <c r="F347" s="71">
        <v>0</v>
      </c>
      <c r="G347" s="71">
        <v>0</v>
      </c>
      <c r="H347" s="71">
        <v>0</v>
      </c>
      <c r="I347" s="71">
        <v>0</v>
      </c>
      <c r="J347" s="71">
        <v>0</v>
      </c>
      <c r="K347" s="71">
        <v>0</v>
      </c>
      <c r="L347" s="153">
        <v>0</v>
      </c>
      <c r="M347" s="71">
        <v>0</v>
      </c>
      <c r="N347" s="71">
        <v>1125</v>
      </c>
      <c r="O347" s="72">
        <v>13766035.949999999</v>
      </c>
      <c r="P347" s="71">
        <v>0</v>
      </c>
      <c r="Q347" s="71">
        <v>0</v>
      </c>
      <c r="R347" s="71">
        <v>0</v>
      </c>
      <c r="S347" s="71">
        <v>0</v>
      </c>
      <c r="T347" s="71">
        <v>0</v>
      </c>
      <c r="U347" s="71">
        <v>0</v>
      </c>
      <c r="V347" s="71">
        <v>0</v>
      </c>
      <c r="W347" s="71">
        <v>0</v>
      </c>
      <c r="X347" s="71">
        <v>0</v>
      </c>
      <c r="Y347" s="72">
        <v>220000</v>
      </c>
      <c r="Z347" s="72">
        <v>294593.17</v>
      </c>
      <c r="AA347" s="71">
        <v>0</v>
      </c>
      <c r="AB347" s="70">
        <v>2028</v>
      </c>
      <c r="AC347" s="70">
        <v>2028</v>
      </c>
      <c r="AD347" s="70">
        <v>2028</v>
      </c>
    </row>
    <row r="348" spans="1:30" x14ac:dyDescent="0.25">
      <c r="A348">
        <v>1</v>
      </c>
      <c r="B348" s="68">
        <f>SUBTOTAL(9,$A$341:A348)</f>
        <v>8</v>
      </c>
      <c r="C348" s="73" t="s">
        <v>92</v>
      </c>
      <c r="D348" s="79" t="s">
        <v>113</v>
      </c>
      <c r="E348" s="65">
        <f t="shared" si="115"/>
        <v>8504911.4100000001</v>
      </c>
      <c r="F348" s="71">
        <v>0</v>
      </c>
      <c r="G348" s="71">
        <v>0</v>
      </c>
      <c r="H348" s="71">
        <v>0</v>
      </c>
      <c r="I348" s="71">
        <v>0</v>
      </c>
      <c r="J348" s="71">
        <v>0</v>
      </c>
      <c r="K348" s="71">
        <v>0</v>
      </c>
      <c r="L348" s="153">
        <v>0</v>
      </c>
      <c r="M348" s="71">
        <v>0</v>
      </c>
      <c r="N348" s="71">
        <v>670</v>
      </c>
      <c r="O348" s="72">
        <v>8130909.9400000004</v>
      </c>
      <c r="P348" s="71">
        <v>0</v>
      </c>
      <c r="Q348" s="71">
        <v>0</v>
      </c>
      <c r="R348" s="71">
        <v>0</v>
      </c>
      <c r="S348" s="71">
        <v>0</v>
      </c>
      <c r="T348" s="71">
        <v>0</v>
      </c>
      <c r="U348" s="71">
        <v>0</v>
      </c>
      <c r="V348" s="71">
        <v>0</v>
      </c>
      <c r="W348" s="71">
        <v>0</v>
      </c>
      <c r="X348" s="71">
        <v>0</v>
      </c>
      <c r="Y348" s="72">
        <v>200000</v>
      </c>
      <c r="Z348" s="72">
        <v>174001.47</v>
      </c>
      <c r="AA348" s="71">
        <v>0</v>
      </c>
      <c r="AB348" s="70">
        <v>2028</v>
      </c>
      <c r="AC348" s="70">
        <v>2028</v>
      </c>
      <c r="AD348" s="70">
        <v>2028</v>
      </c>
    </row>
    <row r="349" spans="1:30" x14ac:dyDescent="0.25">
      <c r="A349">
        <v>1</v>
      </c>
      <c r="B349" s="68">
        <f>SUBTOTAL(9,$A$341:A349)</f>
        <v>9</v>
      </c>
      <c r="C349" s="73" t="s">
        <v>93</v>
      </c>
      <c r="D349" s="79" t="s">
        <v>113</v>
      </c>
      <c r="E349" s="65">
        <f t="shared" si="115"/>
        <v>4747522.0799999991</v>
      </c>
      <c r="F349" s="71">
        <v>0</v>
      </c>
      <c r="G349" s="71">
        <v>0</v>
      </c>
      <c r="H349" s="71">
        <v>0</v>
      </c>
      <c r="I349" s="71">
        <v>0</v>
      </c>
      <c r="J349" s="71">
        <v>0</v>
      </c>
      <c r="K349" s="71">
        <v>0</v>
      </c>
      <c r="L349" s="153">
        <v>0</v>
      </c>
      <c r="M349" s="71">
        <v>0</v>
      </c>
      <c r="N349" s="65">
        <v>374</v>
      </c>
      <c r="O349" s="65">
        <v>4452244.0599999996</v>
      </c>
      <c r="P349" s="71">
        <v>0</v>
      </c>
      <c r="Q349" s="71">
        <v>0</v>
      </c>
      <c r="R349" s="71">
        <v>0</v>
      </c>
      <c r="S349" s="71">
        <v>0</v>
      </c>
      <c r="T349" s="71">
        <v>0</v>
      </c>
      <c r="U349" s="71">
        <v>0</v>
      </c>
      <c r="V349" s="71">
        <v>0</v>
      </c>
      <c r="W349" s="71">
        <v>0</v>
      </c>
      <c r="X349" s="71">
        <v>0</v>
      </c>
      <c r="Y349" s="72">
        <v>200000</v>
      </c>
      <c r="Z349" s="72">
        <v>95278.02</v>
      </c>
      <c r="AA349" s="71">
        <v>0</v>
      </c>
      <c r="AB349" s="70">
        <v>2028</v>
      </c>
      <c r="AC349" s="70">
        <v>2028</v>
      </c>
      <c r="AD349" s="70">
        <v>2028</v>
      </c>
    </row>
    <row r="350" spans="1:30" x14ac:dyDescent="0.25">
      <c r="A350">
        <v>1</v>
      </c>
      <c r="B350" s="68">
        <f>SUBTOTAL(9,$A$341:A350)</f>
        <v>10</v>
      </c>
      <c r="C350" s="73" t="s">
        <v>95</v>
      </c>
      <c r="D350" s="79" t="s">
        <v>113</v>
      </c>
      <c r="E350" s="65">
        <f t="shared" si="115"/>
        <v>12219407.199999999</v>
      </c>
      <c r="F350" s="71">
        <v>0</v>
      </c>
      <c r="G350" s="71">
        <v>0</v>
      </c>
      <c r="H350" s="71">
        <v>0</v>
      </c>
      <c r="I350" s="71">
        <v>0</v>
      </c>
      <c r="J350" s="71">
        <v>0</v>
      </c>
      <c r="K350" s="71">
        <v>0</v>
      </c>
      <c r="L350" s="153">
        <v>0</v>
      </c>
      <c r="M350" s="71">
        <v>0</v>
      </c>
      <c r="N350" s="71">
        <v>1100</v>
      </c>
      <c r="O350" s="71">
        <v>11748000</v>
      </c>
      <c r="P350" s="71">
        <v>0</v>
      </c>
      <c r="Q350" s="71">
        <v>0</v>
      </c>
      <c r="R350" s="72">
        <v>0</v>
      </c>
      <c r="S350" s="72">
        <v>0</v>
      </c>
      <c r="T350" s="71">
        <v>0</v>
      </c>
      <c r="U350" s="71">
        <v>0</v>
      </c>
      <c r="V350" s="71">
        <v>0</v>
      </c>
      <c r="W350" s="71">
        <v>0</v>
      </c>
      <c r="X350" s="71">
        <v>0</v>
      </c>
      <c r="Y350" s="71">
        <v>220000</v>
      </c>
      <c r="Z350" s="72">
        <v>251407.2</v>
      </c>
      <c r="AA350" s="71">
        <v>0</v>
      </c>
      <c r="AB350" s="70">
        <v>2028</v>
      </c>
      <c r="AC350" s="70">
        <v>2028</v>
      </c>
      <c r="AD350" s="70">
        <v>2028</v>
      </c>
    </row>
    <row r="351" spans="1:30" x14ac:dyDescent="0.25">
      <c r="A351">
        <v>1</v>
      </c>
      <c r="B351" s="68">
        <f>SUBTOTAL(9,$A$341:A351)</f>
        <v>11</v>
      </c>
      <c r="C351" s="73" t="s">
        <v>98</v>
      </c>
      <c r="D351" s="79" t="s">
        <v>113</v>
      </c>
      <c r="E351" s="65">
        <f t="shared" ref="E351:E367" si="116">F351+G351+H351+I351+J351+K351+M351+O351+Q351+S351+U351+V351+W351+X351+Y351+Z351+AA351</f>
        <v>11589525.949999999</v>
      </c>
      <c r="F351" s="71">
        <v>0</v>
      </c>
      <c r="G351" s="71">
        <v>0</v>
      </c>
      <c r="H351" s="71">
        <v>0</v>
      </c>
      <c r="I351" s="71">
        <v>0</v>
      </c>
      <c r="J351" s="71">
        <v>0</v>
      </c>
      <c r="K351" s="71">
        <v>0</v>
      </c>
      <c r="L351" s="153">
        <v>0</v>
      </c>
      <c r="M351" s="71">
        <v>0</v>
      </c>
      <c r="N351" s="71">
        <v>913</v>
      </c>
      <c r="O351" s="72">
        <v>11131315.789999999</v>
      </c>
      <c r="P351" s="71">
        <v>0</v>
      </c>
      <c r="Q351" s="71">
        <v>0</v>
      </c>
      <c r="R351" s="71">
        <v>0</v>
      </c>
      <c r="S351" s="71">
        <v>0</v>
      </c>
      <c r="T351" s="71">
        <v>0</v>
      </c>
      <c r="U351" s="71">
        <v>0</v>
      </c>
      <c r="V351" s="71">
        <v>0</v>
      </c>
      <c r="W351" s="71">
        <v>0</v>
      </c>
      <c r="X351" s="71">
        <v>0</v>
      </c>
      <c r="Y351" s="72">
        <v>220000</v>
      </c>
      <c r="Z351" s="72">
        <v>238210.16</v>
      </c>
      <c r="AA351" s="71">
        <v>0</v>
      </c>
      <c r="AB351" s="70">
        <v>2028</v>
      </c>
      <c r="AC351" s="70">
        <v>2028</v>
      </c>
      <c r="AD351" s="70">
        <v>2028</v>
      </c>
    </row>
    <row r="352" spans="1:30" x14ac:dyDescent="0.25">
      <c r="A352">
        <v>1</v>
      </c>
      <c r="B352" s="68">
        <f>SUBTOTAL(9,$A$341:A352)</f>
        <v>12</v>
      </c>
      <c r="C352" s="73" t="s">
        <v>99</v>
      </c>
      <c r="D352" s="79" t="s">
        <v>113</v>
      </c>
      <c r="E352" s="65">
        <f t="shared" si="116"/>
        <v>22308077.829999998</v>
      </c>
      <c r="F352" s="71">
        <v>0</v>
      </c>
      <c r="G352" s="71">
        <v>0</v>
      </c>
      <c r="H352" s="71">
        <v>0</v>
      </c>
      <c r="I352" s="71">
        <v>0</v>
      </c>
      <c r="J352" s="71">
        <v>0</v>
      </c>
      <c r="K352" s="71">
        <v>0</v>
      </c>
      <c r="L352" s="153">
        <v>0</v>
      </c>
      <c r="M352" s="71">
        <v>0</v>
      </c>
      <c r="N352" s="72">
        <v>0</v>
      </c>
      <c r="O352" s="72">
        <v>0</v>
      </c>
      <c r="P352" s="71">
        <v>0</v>
      </c>
      <c r="Q352" s="71">
        <v>0</v>
      </c>
      <c r="R352" s="72">
        <v>1944</v>
      </c>
      <c r="S352" s="72">
        <v>21625296.489999998</v>
      </c>
      <c r="T352" s="71">
        <v>0</v>
      </c>
      <c r="U352" s="71">
        <v>0</v>
      </c>
      <c r="V352" s="71">
        <v>0</v>
      </c>
      <c r="W352" s="71">
        <v>0</v>
      </c>
      <c r="X352" s="71">
        <v>0</v>
      </c>
      <c r="Y352" s="71">
        <v>220000</v>
      </c>
      <c r="Z352" s="74">
        <v>462781.34</v>
      </c>
      <c r="AA352" s="71">
        <v>0</v>
      </c>
      <c r="AB352" s="70">
        <v>2028</v>
      </c>
      <c r="AC352" s="70">
        <v>2028</v>
      </c>
      <c r="AD352" s="70">
        <v>2028</v>
      </c>
    </row>
    <row r="353" spans="1:30" x14ac:dyDescent="0.25">
      <c r="A353">
        <v>1</v>
      </c>
      <c r="B353" s="68">
        <f>SUBTOTAL(9,$A$341:A353)</f>
        <v>13</v>
      </c>
      <c r="C353" s="73" t="s">
        <v>100</v>
      </c>
      <c r="D353" s="79" t="s">
        <v>113</v>
      </c>
      <c r="E353" s="65">
        <f t="shared" si="116"/>
        <v>22070732.829999998</v>
      </c>
      <c r="F353" s="71">
        <v>0</v>
      </c>
      <c r="G353" s="71">
        <v>0</v>
      </c>
      <c r="H353" s="71">
        <v>0</v>
      </c>
      <c r="I353" s="71">
        <v>0</v>
      </c>
      <c r="J353" s="71">
        <v>0</v>
      </c>
      <c r="K353" s="71">
        <v>0</v>
      </c>
      <c r="L353" s="153">
        <v>0</v>
      </c>
      <c r="M353" s="71">
        <v>0</v>
      </c>
      <c r="N353" s="65">
        <v>0</v>
      </c>
      <c r="O353" s="65">
        <v>0</v>
      </c>
      <c r="P353" s="71">
        <v>0</v>
      </c>
      <c r="Q353" s="71">
        <v>0</v>
      </c>
      <c r="R353" s="71">
        <v>2074.96</v>
      </c>
      <c r="S353" s="72">
        <v>21363552.93</v>
      </c>
      <c r="T353" s="71">
        <v>0</v>
      </c>
      <c r="U353" s="71">
        <v>0</v>
      </c>
      <c r="V353" s="71">
        <v>0</v>
      </c>
      <c r="W353" s="71">
        <v>0</v>
      </c>
      <c r="X353" s="71">
        <v>0</v>
      </c>
      <c r="Y353" s="72">
        <v>250000</v>
      </c>
      <c r="Z353" s="72">
        <v>457179.9</v>
      </c>
      <c r="AA353" s="71">
        <v>0</v>
      </c>
      <c r="AB353" s="70">
        <v>2028</v>
      </c>
      <c r="AC353" s="70">
        <v>2028</v>
      </c>
      <c r="AD353" s="70">
        <v>2028</v>
      </c>
    </row>
    <row r="354" spans="1:30" x14ac:dyDescent="0.25">
      <c r="A354">
        <v>1</v>
      </c>
      <c r="B354" s="68">
        <f>SUBTOTAL(9,$A$341:A354)</f>
        <v>14</v>
      </c>
      <c r="C354" s="73" t="s">
        <v>101</v>
      </c>
      <c r="D354" s="79" t="s">
        <v>113</v>
      </c>
      <c r="E354" s="65">
        <f t="shared" si="116"/>
        <v>23860864.310000002</v>
      </c>
      <c r="F354" s="71">
        <v>0</v>
      </c>
      <c r="G354" s="71">
        <v>0</v>
      </c>
      <c r="H354" s="71">
        <v>0</v>
      </c>
      <c r="I354" s="71">
        <v>0</v>
      </c>
      <c r="J354" s="71">
        <v>0</v>
      </c>
      <c r="K354" s="71">
        <v>0</v>
      </c>
      <c r="L354" s="153">
        <v>0</v>
      </c>
      <c r="M354" s="71">
        <v>0</v>
      </c>
      <c r="N354" s="72">
        <v>1845</v>
      </c>
      <c r="O354" s="72">
        <v>23116178.100000001</v>
      </c>
      <c r="P354" s="71">
        <v>0</v>
      </c>
      <c r="Q354" s="71">
        <v>0</v>
      </c>
      <c r="R354" s="72">
        <v>0</v>
      </c>
      <c r="S354" s="72">
        <v>0</v>
      </c>
      <c r="T354" s="71">
        <v>0</v>
      </c>
      <c r="U354" s="71">
        <v>0</v>
      </c>
      <c r="V354" s="71">
        <v>0</v>
      </c>
      <c r="W354" s="71">
        <v>0</v>
      </c>
      <c r="X354" s="71">
        <v>0</v>
      </c>
      <c r="Y354" s="72">
        <v>250000</v>
      </c>
      <c r="Z354" s="74">
        <v>494686.21</v>
      </c>
      <c r="AA354" s="71">
        <v>0</v>
      </c>
      <c r="AB354" s="70">
        <v>2028</v>
      </c>
      <c r="AC354" s="70">
        <v>2028</v>
      </c>
      <c r="AD354" s="70">
        <v>2028</v>
      </c>
    </row>
    <row r="355" spans="1:30" x14ac:dyDescent="0.25">
      <c r="A355">
        <v>1</v>
      </c>
      <c r="B355" s="68">
        <f>SUBTOTAL(9,$A$341:A355)</f>
        <v>15</v>
      </c>
      <c r="C355" s="73" t="s">
        <v>102</v>
      </c>
      <c r="D355" s="79" t="s">
        <v>113</v>
      </c>
      <c r="E355" s="65">
        <f t="shared" si="116"/>
        <v>8703714.9299999997</v>
      </c>
      <c r="F355" s="65">
        <v>0</v>
      </c>
      <c r="G355" s="65">
        <v>0</v>
      </c>
      <c r="H355" s="65">
        <v>0</v>
      </c>
      <c r="I355" s="65">
        <v>0</v>
      </c>
      <c r="J355" s="65">
        <v>0</v>
      </c>
      <c r="K355" s="65">
        <v>0</v>
      </c>
      <c r="L355" s="152">
        <v>0</v>
      </c>
      <c r="M355" s="65">
        <v>0</v>
      </c>
      <c r="N355" s="72">
        <v>750</v>
      </c>
      <c r="O355" s="72">
        <v>8325549.2300000004</v>
      </c>
      <c r="P355" s="65">
        <v>0</v>
      </c>
      <c r="Q355" s="65">
        <v>0</v>
      </c>
      <c r="R355" s="65">
        <v>0</v>
      </c>
      <c r="S355" s="65">
        <v>0</v>
      </c>
      <c r="T355" s="71">
        <v>0</v>
      </c>
      <c r="U355" s="71">
        <v>0</v>
      </c>
      <c r="V355" s="71">
        <v>0</v>
      </c>
      <c r="W355" s="71">
        <v>0</v>
      </c>
      <c r="X355" s="71">
        <v>0</v>
      </c>
      <c r="Y355" s="72">
        <v>200000</v>
      </c>
      <c r="Z355" s="72">
        <v>178165.7</v>
      </c>
      <c r="AA355" s="71">
        <v>0</v>
      </c>
      <c r="AB355" s="70">
        <v>2028</v>
      </c>
      <c r="AC355" s="70">
        <v>2028</v>
      </c>
      <c r="AD355" s="70">
        <v>2028</v>
      </c>
    </row>
    <row r="356" spans="1:30" x14ac:dyDescent="0.25">
      <c r="A356">
        <v>1</v>
      </c>
      <c r="B356" s="68">
        <f>SUBTOTAL(9,$A$341:A356)</f>
        <v>16</v>
      </c>
      <c r="C356" s="73" t="s">
        <v>103</v>
      </c>
      <c r="D356" s="79" t="s">
        <v>113</v>
      </c>
      <c r="E356" s="65">
        <f t="shared" si="116"/>
        <v>7620148.7599999998</v>
      </c>
      <c r="F356" s="71">
        <v>0</v>
      </c>
      <c r="G356" s="71">
        <v>0</v>
      </c>
      <c r="H356" s="71">
        <v>0</v>
      </c>
      <c r="I356" s="71">
        <v>0</v>
      </c>
      <c r="J356" s="71">
        <v>0</v>
      </c>
      <c r="K356" s="71">
        <v>0</v>
      </c>
      <c r="L356" s="153">
        <v>0</v>
      </c>
      <c r="M356" s="71">
        <v>0</v>
      </c>
      <c r="N356" s="74">
        <v>600.29999999999995</v>
      </c>
      <c r="O356" s="74">
        <v>7245103.54</v>
      </c>
      <c r="P356" s="71">
        <v>0</v>
      </c>
      <c r="Q356" s="71">
        <v>0</v>
      </c>
      <c r="R356" s="71">
        <v>0</v>
      </c>
      <c r="S356" s="71">
        <v>0</v>
      </c>
      <c r="T356" s="71">
        <v>0</v>
      </c>
      <c r="U356" s="71">
        <v>0</v>
      </c>
      <c r="V356" s="71">
        <v>0</v>
      </c>
      <c r="W356" s="71">
        <v>0</v>
      </c>
      <c r="X356" s="71">
        <v>0</v>
      </c>
      <c r="Y356" s="74">
        <v>220000</v>
      </c>
      <c r="Z356" s="74">
        <v>155045.22</v>
      </c>
      <c r="AA356" s="71">
        <v>0</v>
      </c>
      <c r="AB356" s="70">
        <v>2028</v>
      </c>
      <c r="AC356" s="70">
        <v>2028</v>
      </c>
      <c r="AD356" s="70">
        <v>2028</v>
      </c>
    </row>
    <row r="357" spans="1:30" x14ac:dyDescent="0.25">
      <c r="A357">
        <v>1</v>
      </c>
      <c r="B357" s="68">
        <f>SUBTOTAL(9,$A$341:A357)</f>
        <v>17</v>
      </c>
      <c r="C357" s="73" t="s">
        <v>104</v>
      </c>
      <c r="D357" s="79" t="s">
        <v>113</v>
      </c>
      <c r="E357" s="65">
        <f t="shared" si="116"/>
        <v>13126711.630000001</v>
      </c>
      <c r="F357" s="71">
        <v>0</v>
      </c>
      <c r="G357" s="71">
        <v>0</v>
      </c>
      <c r="H357" s="71">
        <v>0</v>
      </c>
      <c r="I357" s="71">
        <v>0</v>
      </c>
      <c r="J357" s="71">
        <v>0</v>
      </c>
      <c r="K357" s="71">
        <v>0</v>
      </c>
      <c r="L357" s="153">
        <v>0</v>
      </c>
      <c r="M357" s="71">
        <v>0</v>
      </c>
      <c r="N357" s="72">
        <v>1015</v>
      </c>
      <c r="O357" s="72">
        <v>12655875.890000001</v>
      </c>
      <c r="P357" s="71">
        <v>0</v>
      </c>
      <c r="Q357" s="71">
        <v>0</v>
      </c>
      <c r="R357" s="72">
        <v>0</v>
      </c>
      <c r="S357" s="72">
        <v>0</v>
      </c>
      <c r="T357" s="71">
        <v>0</v>
      </c>
      <c r="U357" s="71">
        <v>0</v>
      </c>
      <c r="V357" s="71">
        <v>0</v>
      </c>
      <c r="W357" s="71">
        <v>0</v>
      </c>
      <c r="X357" s="71">
        <v>0</v>
      </c>
      <c r="Y357" s="72">
        <v>200000</v>
      </c>
      <c r="Z357" s="74">
        <v>270835.74</v>
      </c>
      <c r="AA357" s="71">
        <v>0</v>
      </c>
      <c r="AB357" s="70">
        <v>2028</v>
      </c>
      <c r="AC357" s="70">
        <v>2028</v>
      </c>
      <c r="AD357" s="70">
        <v>2028</v>
      </c>
    </row>
    <row r="358" spans="1:30" x14ac:dyDescent="0.25">
      <c r="A358">
        <v>1</v>
      </c>
      <c r="B358" s="68">
        <f>SUBTOTAL(9,$A$341:A358)</f>
        <v>18</v>
      </c>
      <c r="C358" s="73" t="s">
        <v>106</v>
      </c>
      <c r="D358" s="79" t="s">
        <v>113</v>
      </c>
      <c r="E358" s="65">
        <f t="shared" si="116"/>
        <v>6822519.6299999999</v>
      </c>
      <c r="F358" s="71">
        <v>0</v>
      </c>
      <c r="G358" s="71">
        <v>0</v>
      </c>
      <c r="H358" s="71">
        <v>0</v>
      </c>
      <c r="I358" s="71">
        <v>0</v>
      </c>
      <c r="J358" s="71">
        <v>0</v>
      </c>
      <c r="K358" s="71">
        <v>0</v>
      </c>
      <c r="L358" s="153">
        <v>0</v>
      </c>
      <c r="M358" s="71">
        <v>0</v>
      </c>
      <c r="N358" s="71">
        <v>380</v>
      </c>
      <c r="O358" s="72">
        <v>6483767.0199999996</v>
      </c>
      <c r="P358" s="71">
        <v>0</v>
      </c>
      <c r="Q358" s="71">
        <v>0</v>
      </c>
      <c r="R358" s="71">
        <v>0</v>
      </c>
      <c r="S358" s="71">
        <v>0</v>
      </c>
      <c r="T358" s="71">
        <v>0</v>
      </c>
      <c r="U358" s="71">
        <v>0</v>
      </c>
      <c r="V358" s="71">
        <v>0</v>
      </c>
      <c r="W358" s="71">
        <v>0</v>
      </c>
      <c r="X358" s="71">
        <v>0</v>
      </c>
      <c r="Y358" s="72">
        <v>200000</v>
      </c>
      <c r="Z358" s="72">
        <v>138752.60999999999</v>
      </c>
      <c r="AA358" s="71">
        <v>0</v>
      </c>
      <c r="AB358" s="70">
        <v>2028</v>
      </c>
      <c r="AC358" s="70">
        <v>2028</v>
      </c>
      <c r="AD358" s="70">
        <v>2028</v>
      </c>
    </row>
    <row r="359" spans="1:30" x14ac:dyDescent="0.25">
      <c r="A359">
        <v>1</v>
      </c>
      <c r="B359" s="68">
        <f>SUBTOTAL(9,$A$341:A359)</f>
        <v>19</v>
      </c>
      <c r="C359" s="73" t="s">
        <v>107</v>
      </c>
      <c r="D359" s="79" t="s">
        <v>113</v>
      </c>
      <c r="E359" s="65">
        <f t="shared" si="116"/>
        <v>18105806.390000001</v>
      </c>
      <c r="F359" s="71">
        <v>0</v>
      </c>
      <c r="G359" s="71">
        <v>0</v>
      </c>
      <c r="H359" s="71">
        <v>0</v>
      </c>
      <c r="I359" s="71">
        <v>0</v>
      </c>
      <c r="J359" s="71">
        <v>0</v>
      </c>
      <c r="K359" s="71">
        <v>0</v>
      </c>
      <c r="L359" s="153">
        <v>0</v>
      </c>
      <c r="M359" s="71">
        <v>0</v>
      </c>
      <c r="N359" s="71">
        <v>1400</v>
      </c>
      <c r="O359" s="72">
        <v>17511069.510000002</v>
      </c>
      <c r="P359" s="71">
        <v>0</v>
      </c>
      <c r="Q359" s="71">
        <v>0</v>
      </c>
      <c r="R359" s="71">
        <v>0</v>
      </c>
      <c r="S359" s="72">
        <v>0</v>
      </c>
      <c r="T359" s="71">
        <v>0</v>
      </c>
      <c r="U359" s="71">
        <v>0</v>
      </c>
      <c r="V359" s="71">
        <v>0</v>
      </c>
      <c r="W359" s="71">
        <v>0</v>
      </c>
      <c r="X359" s="71">
        <v>0</v>
      </c>
      <c r="Y359" s="72">
        <v>220000</v>
      </c>
      <c r="Z359" s="72">
        <v>374736.88</v>
      </c>
      <c r="AA359" s="71">
        <v>0</v>
      </c>
      <c r="AB359" s="70">
        <v>2028</v>
      </c>
      <c r="AC359" s="70">
        <v>2028</v>
      </c>
      <c r="AD359" s="70">
        <v>2028</v>
      </c>
    </row>
    <row r="360" spans="1:30" x14ac:dyDescent="0.25">
      <c r="A360">
        <v>1</v>
      </c>
      <c r="B360" s="68">
        <f>SUBTOTAL(9,$A$341:A360)</f>
        <v>20</v>
      </c>
      <c r="C360" s="73" t="s">
        <v>108</v>
      </c>
      <c r="D360" s="79" t="s">
        <v>113</v>
      </c>
      <c r="E360" s="65">
        <f t="shared" si="116"/>
        <v>16051700</v>
      </c>
      <c r="F360" s="71">
        <v>0</v>
      </c>
      <c r="G360" s="71">
        <v>0</v>
      </c>
      <c r="H360" s="71">
        <v>0</v>
      </c>
      <c r="I360" s="71">
        <v>0</v>
      </c>
      <c r="J360" s="71">
        <v>0</v>
      </c>
      <c r="K360" s="71">
        <v>0</v>
      </c>
      <c r="L360" s="153">
        <v>0</v>
      </c>
      <c r="M360" s="71">
        <v>0</v>
      </c>
      <c r="N360" s="71">
        <v>1386</v>
      </c>
      <c r="O360" s="72">
        <v>15500000</v>
      </c>
      <c r="P360" s="71">
        <v>0</v>
      </c>
      <c r="Q360" s="71">
        <v>0</v>
      </c>
      <c r="R360" s="71">
        <v>0</v>
      </c>
      <c r="S360" s="71">
        <v>0</v>
      </c>
      <c r="T360" s="71">
        <v>0</v>
      </c>
      <c r="U360" s="71">
        <v>0</v>
      </c>
      <c r="V360" s="71">
        <v>0</v>
      </c>
      <c r="W360" s="71">
        <v>0</v>
      </c>
      <c r="X360" s="71">
        <v>0</v>
      </c>
      <c r="Y360" s="72">
        <v>220000</v>
      </c>
      <c r="Z360" s="72">
        <v>331700</v>
      </c>
      <c r="AA360" s="71">
        <v>0</v>
      </c>
      <c r="AB360" s="70">
        <v>2028</v>
      </c>
      <c r="AC360" s="70">
        <v>2028</v>
      </c>
      <c r="AD360" s="70">
        <v>2028</v>
      </c>
    </row>
    <row r="361" spans="1:30" x14ac:dyDescent="0.25">
      <c r="A361">
        <v>1</v>
      </c>
      <c r="B361" s="68">
        <f>SUBTOTAL(9,$A$341:A361)</f>
        <v>21</v>
      </c>
      <c r="C361" s="73" t="s">
        <v>109</v>
      </c>
      <c r="D361" s="79" t="s">
        <v>113</v>
      </c>
      <c r="E361" s="65">
        <f t="shared" si="116"/>
        <v>11462586.619999999</v>
      </c>
      <c r="F361" s="71">
        <v>0</v>
      </c>
      <c r="G361" s="71">
        <v>0</v>
      </c>
      <c r="H361" s="71">
        <v>0</v>
      </c>
      <c r="I361" s="71">
        <v>0</v>
      </c>
      <c r="J361" s="71">
        <v>0</v>
      </c>
      <c r="K361" s="71">
        <v>0</v>
      </c>
      <c r="L361" s="153">
        <v>0</v>
      </c>
      <c r="M361" s="71">
        <v>0</v>
      </c>
      <c r="N361" s="71">
        <v>903</v>
      </c>
      <c r="O361" s="72">
        <v>11016826.539999999</v>
      </c>
      <c r="P361" s="71">
        <v>0</v>
      </c>
      <c r="Q361" s="71">
        <v>0</v>
      </c>
      <c r="R361" s="71">
        <v>0</v>
      </c>
      <c r="S361" s="72">
        <v>0</v>
      </c>
      <c r="T361" s="71">
        <v>0</v>
      </c>
      <c r="U361" s="71">
        <v>0</v>
      </c>
      <c r="V361" s="71">
        <v>0</v>
      </c>
      <c r="W361" s="71">
        <v>0</v>
      </c>
      <c r="X361" s="71">
        <v>0</v>
      </c>
      <c r="Y361" s="71">
        <v>210000</v>
      </c>
      <c r="Z361" s="72">
        <v>235760.08</v>
      </c>
      <c r="AA361" s="71">
        <v>0</v>
      </c>
      <c r="AB361" s="70">
        <v>2028</v>
      </c>
      <c r="AC361" s="70">
        <v>2028</v>
      </c>
      <c r="AD361" s="70">
        <v>2028</v>
      </c>
    </row>
    <row r="362" spans="1:30" x14ac:dyDescent="0.25">
      <c r="A362">
        <v>1</v>
      </c>
      <c r="B362" s="68">
        <f>SUBTOTAL(9,$A$341:A362)</f>
        <v>22</v>
      </c>
      <c r="C362" s="73" t="s">
        <v>110</v>
      </c>
      <c r="D362" s="79" t="s">
        <v>113</v>
      </c>
      <c r="E362" s="65">
        <f t="shared" si="116"/>
        <v>8504911.3800000008</v>
      </c>
      <c r="F362" s="71">
        <v>0</v>
      </c>
      <c r="G362" s="71">
        <v>0</v>
      </c>
      <c r="H362" s="71">
        <v>0</v>
      </c>
      <c r="I362" s="71">
        <v>0</v>
      </c>
      <c r="J362" s="71">
        <v>0</v>
      </c>
      <c r="K362" s="71">
        <v>0</v>
      </c>
      <c r="L362" s="153">
        <v>0</v>
      </c>
      <c r="M362" s="71">
        <v>0</v>
      </c>
      <c r="N362" s="71">
        <v>670</v>
      </c>
      <c r="O362" s="72">
        <v>8130909.9400000004</v>
      </c>
      <c r="P362" s="71">
        <v>0</v>
      </c>
      <c r="Q362" s="71">
        <v>0</v>
      </c>
      <c r="R362" s="71">
        <v>0</v>
      </c>
      <c r="S362" s="72">
        <v>0</v>
      </c>
      <c r="T362" s="71">
        <v>0</v>
      </c>
      <c r="U362" s="71">
        <v>0</v>
      </c>
      <c r="V362" s="71">
        <v>0</v>
      </c>
      <c r="W362" s="71">
        <v>0</v>
      </c>
      <c r="X362" s="71">
        <v>0</v>
      </c>
      <c r="Y362" s="72">
        <v>200000</v>
      </c>
      <c r="Z362" s="72">
        <v>174001.44</v>
      </c>
      <c r="AA362" s="71">
        <v>0</v>
      </c>
      <c r="AB362" s="70">
        <v>2028</v>
      </c>
      <c r="AC362" s="70">
        <v>2028</v>
      </c>
      <c r="AD362" s="70">
        <v>2028</v>
      </c>
    </row>
    <row r="363" spans="1:30" x14ac:dyDescent="0.25">
      <c r="A363">
        <v>1</v>
      </c>
      <c r="B363" s="68">
        <f>SUBTOTAL(9,$A$341:A363)</f>
        <v>23</v>
      </c>
      <c r="C363" s="73" t="s">
        <v>111</v>
      </c>
      <c r="D363" s="79" t="s">
        <v>113</v>
      </c>
      <c r="E363" s="65">
        <f t="shared" si="116"/>
        <v>6473890.1600000001</v>
      </c>
      <c r="F363" s="71">
        <v>0</v>
      </c>
      <c r="G363" s="71">
        <v>0</v>
      </c>
      <c r="H363" s="71">
        <v>0</v>
      </c>
      <c r="I363" s="71">
        <v>0</v>
      </c>
      <c r="J363" s="71">
        <v>0</v>
      </c>
      <c r="K363" s="71">
        <v>0</v>
      </c>
      <c r="L363" s="153">
        <v>0</v>
      </c>
      <c r="M363" s="71">
        <v>0</v>
      </c>
      <c r="N363" s="71">
        <v>510</v>
      </c>
      <c r="O363" s="72">
        <v>6142441.9000000004</v>
      </c>
      <c r="P363" s="71">
        <v>0</v>
      </c>
      <c r="Q363" s="71">
        <v>0</v>
      </c>
      <c r="R363" s="71">
        <v>0</v>
      </c>
      <c r="S363" s="71">
        <v>0</v>
      </c>
      <c r="T363" s="71">
        <v>0</v>
      </c>
      <c r="U363" s="71">
        <v>0</v>
      </c>
      <c r="V363" s="71">
        <v>0</v>
      </c>
      <c r="W363" s="71">
        <v>0</v>
      </c>
      <c r="X363" s="71">
        <v>0</v>
      </c>
      <c r="Y363" s="72">
        <v>200000</v>
      </c>
      <c r="Z363" s="72">
        <v>131448.26</v>
      </c>
      <c r="AA363" s="71">
        <v>0</v>
      </c>
      <c r="AB363" s="70">
        <v>2028</v>
      </c>
      <c r="AC363" s="70">
        <v>2028</v>
      </c>
      <c r="AD363" s="70">
        <v>2028</v>
      </c>
    </row>
    <row r="364" spans="1:30" x14ac:dyDescent="0.25">
      <c r="A364">
        <v>1</v>
      </c>
      <c r="B364" s="68">
        <f>SUBTOTAL(9,$A$341:A364)</f>
        <v>24</v>
      </c>
      <c r="C364" s="73" t="s">
        <v>112</v>
      </c>
      <c r="D364" s="79" t="s">
        <v>113</v>
      </c>
      <c r="E364" s="65">
        <f t="shared" si="116"/>
        <v>14318710.76</v>
      </c>
      <c r="F364" s="71">
        <v>0</v>
      </c>
      <c r="G364" s="71">
        <v>0</v>
      </c>
      <c r="H364" s="71">
        <v>0</v>
      </c>
      <c r="I364" s="71">
        <v>0</v>
      </c>
      <c r="J364" s="71">
        <v>0</v>
      </c>
      <c r="K364" s="71">
        <v>0</v>
      </c>
      <c r="L364" s="153">
        <v>0</v>
      </c>
      <c r="M364" s="71">
        <v>0</v>
      </c>
      <c r="N364" s="72">
        <v>1128</v>
      </c>
      <c r="O364" s="72">
        <v>13803319.720000001</v>
      </c>
      <c r="P364" s="71">
        <v>0</v>
      </c>
      <c r="Q364" s="71">
        <v>0</v>
      </c>
      <c r="R364" s="72">
        <v>0</v>
      </c>
      <c r="S364" s="72">
        <v>0</v>
      </c>
      <c r="T364" s="71">
        <v>0</v>
      </c>
      <c r="U364" s="71">
        <v>0</v>
      </c>
      <c r="V364" s="71">
        <v>0</v>
      </c>
      <c r="W364" s="71">
        <v>0</v>
      </c>
      <c r="X364" s="71">
        <v>0</v>
      </c>
      <c r="Y364" s="71">
        <v>220000</v>
      </c>
      <c r="Z364" s="74">
        <v>295391.03999999998</v>
      </c>
      <c r="AA364" s="71">
        <v>0</v>
      </c>
      <c r="AB364" s="70">
        <v>2028</v>
      </c>
      <c r="AC364" s="70">
        <v>2028</v>
      </c>
      <c r="AD364" s="70">
        <v>2028</v>
      </c>
    </row>
    <row r="365" spans="1:30" x14ac:dyDescent="0.25">
      <c r="A365">
        <v>1</v>
      </c>
      <c r="B365" s="68">
        <f>SUBTOTAL(9,$A$341:A365)</f>
        <v>25</v>
      </c>
      <c r="C365" s="73" t="s">
        <v>681</v>
      </c>
      <c r="D365" s="79" t="s">
        <v>113</v>
      </c>
      <c r="E365" s="65">
        <f t="shared" si="116"/>
        <v>4163281.5</v>
      </c>
      <c r="F365" s="71">
        <v>0</v>
      </c>
      <c r="G365" s="71">
        <v>0</v>
      </c>
      <c r="H365" s="71">
        <v>0</v>
      </c>
      <c r="I365" s="71">
        <v>0</v>
      </c>
      <c r="J365" s="71">
        <v>0</v>
      </c>
      <c r="K365" s="71">
        <v>0</v>
      </c>
      <c r="L365" s="153">
        <v>1</v>
      </c>
      <c r="M365" s="71">
        <v>3904710.84</v>
      </c>
      <c r="N365" s="72">
        <v>0</v>
      </c>
      <c r="O365" s="72">
        <v>0</v>
      </c>
      <c r="P365" s="71">
        <v>0</v>
      </c>
      <c r="Q365" s="71">
        <v>0</v>
      </c>
      <c r="R365" s="72">
        <v>0</v>
      </c>
      <c r="S365" s="72">
        <v>0</v>
      </c>
      <c r="T365" s="71">
        <v>0</v>
      </c>
      <c r="U365" s="71">
        <v>0</v>
      </c>
      <c r="V365" s="71">
        <v>0</v>
      </c>
      <c r="W365" s="71">
        <v>0</v>
      </c>
      <c r="X365" s="71">
        <v>0</v>
      </c>
      <c r="Y365" s="71">
        <v>200000</v>
      </c>
      <c r="Z365" s="74">
        <f>ROUND(M365*1.5%,2)</f>
        <v>58570.66</v>
      </c>
      <c r="AA365" s="71">
        <v>0</v>
      </c>
      <c r="AB365" s="70">
        <v>2028</v>
      </c>
      <c r="AC365" s="70">
        <v>2028</v>
      </c>
      <c r="AD365" s="70">
        <v>2028</v>
      </c>
    </row>
    <row r="366" spans="1:30" x14ac:dyDescent="0.25">
      <c r="A366">
        <v>1</v>
      </c>
      <c r="B366" s="68">
        <f>SUBTOTAL(9,$A$341:A366)</f>
        <v>26</v>
      </c>
      <c r="C366" s="73" t="s">
        <v>682</v>
      </c>
      <c r="D366" s="79" t="s">
        <v>113</v>
      </c>
      <c r="E366" s="65">
        <f t="shared" si="116"/>
        <v>9517347</v>
      </c>
      <c r="F366" s="71">
        <v>0</v>
      </c>
      <c r="G366" s="71">
        <v>0</v>
      </c>
      <c r="H366" s="71">
        <v>0</v>
      </c>
      <c r="I366" s="71">
        <v>0</v>
      </c>
      <c r="J366" s="71">
        <v>0</v>
      </c>
      <c r="K366" s="71">
        <v>0</v>
      </c>
      <c r="L366" s="153">
        <v>2</v>
      </c>
      <c r="M366" s="71">
        <v>9081130.0500000007</v>
      </c>
      <c r="N366" s="72">
        <v>0</v>
      </c>
      <c r="O366" s="72">
        <v>0</v>
      </c>
      <c r="P366" s="71">
        <v>0</v>
      </c>
      <c r="Q366" s="71">
        <v>0</v>
      </c>
      <c r="R366" s="72">
        <v>0</v>
      </c>
      <c r="S366" s="72">
        <v>0</v>
      </c>
      <c r="T366" s="71">
        <v>0</v>
      </c>
      <c r="U366" s="71">
        <v>0</v>
      </c>
      <c r="V366" s="71">
        <v>0</v>
      </c>
      <c r="W366" s="71">
        <v>0</v>
      </c>
      <c r="X366" s="71">
        <v>0</v>
      </c>
      <c r="Y366" s="71">
        <v>300000</v>
      </c>
      <c r="Z366" s="74">
        <f>ROUND(M366*1.5%,2)</f>
        <v>136216.95000000001</v>
      </c>
      <c r="AA366" s="71">
        <v>0</v>
      </c>
      <c r="AB366" s="70">
        <v>2028</v>
      </c>
      <c r="AC366" s="70">
        <v>2028</v>
      </c>
      <c r="AD366" s="70">
        <v>2028</v>
      </c>
    </row>
    <row r="367" spans="1:30" x14ac:dyDescent="0.25">
      <c r="A367">
        <v>1</v>
      </c>
      <c r="B367" s="68">
        <f>SUBTOTAL(9,$A$341:A367)</f>
        <v>27</v>
      </c>
      <c r="C367" s="73" t="s">
        <v>72</v>
      </c>
      <c r="D367" s="79" t="s">
        <v>113</v>
      </c>
      <c r="E367" s="65">
        <f t="shared" si="116"/>
        <v>8392125</v>
      </c>
      <c r="F367" s="71">
        <v>0</v>
      </c>
      <c r="G367" s="71">
        <v>0</v>
      </c>
      <c r="H367" s="71">
        <v>0</v>
      </c>
      <c r="I367" s="71">
        <v>0</v>
      </c>
      <c r="J367" s="71">
        <v>0</v>
      </c>
      <c r="K367" s="71">
        <v>0</v>
      </c>
      <c r="L367" s="153">
        <v>2</v>
      </c>
      <c r="M367" s="71">
        <v>8021798.0300000003</v>
      </c>
      <c r="N367" s="72">
        <v>0</v>
      </c>
      <c r="O367" s="72">
        <v>0</v>
      </c>
      <c r="P367" s="71">
        <v>0</v>
      </c>
      <c r="Q367" s="71">
        <v>0</v>
      </c>
      <c r="R367" s="72">
        <v>0</v>
      </c>
      <c r="S367" s="72">
        <v>0</v>
      </c>
      <c r="T367" s="71">
        <v>0</v>
      </c>
      <c r="U367" s="71">
        <v>0</v>
      </c>
      <c r="V367" s="71">
        <v>0</v>
      </c>
      <c r="W367" s="71">
        <v>0</v>
      </c>
      <c r="X367" s="71">
        <v>0</v>
      </c>
      <c r="Y367" s="71">
        <v>250000</v>
      </c>
      <c r="Z367" s="74">
        <f>ROUND(M367*1.5%,2)</f>
        <v>120326.97</v>
      </c>
      <c r="AA367" s="71">
        <v>0</v>
      </c>
      <c r="AB367" s="70">
        <v>2028</v>
      </c>
      <c r="AC367" s="70">
        <v>2028</v>
      </c>
      <c r="AD367" s="70">
        <v>2028</v>
      </c>
    </row>
    <row r="368" spans="1:30" x14ac:dyDescent="0.3">
      <c r="B368" s="62" t="s">
        <v>417</v>
      </c>
      <c r="C368" s="63"/>
      <c r="D368" s="64"/>
      <c r="E368" s="65">
        <f>SUM(E369:E373)</f>
        <v>60223102.890000001</v>
      </c>
      <c r="F368" s="65">
        <f t="shared" ref="F368:AA368" si="117">SUM(F369:F373)</f>
        <v>0</v>
      </c>
      <c r="G368" s="65">
        <f t="shared" si="117"/>
        <v>0</v>
      </c>
      <c r="H368" s="65">
        <f t="shared" si="117"/>
        <v>0</v>
      </c>
      <c r="I368" s="65">
        <f t="shared" si="117"/>
        <v>0</v>
      </c>
      <c r="J368" s="65">
        <f t="shared" si="117"/>
        <v>0</v>
      </c>
      <c r="K368" s="65">
        <f t="shared" si="117"/>
        <v>0</v>
      </c>
      <c r="L368" s="152">
        <f t="shared" si="117"/>
        <v>0</v>
      </c>
      <c r="M368" s="65">
        <f t="shared" si="117"/>
        <v>0</v>
      </c>
      <c r="N368" s="65">
        <f t="shared" si="117"/>
        <v>4720.34</v>
      </c>
      <c r="O368" s="65">
        <f t="shared" si="117"/>
        <v>58298623.539999999</v>
      </c>
      <c r="P368" s="65">
        <f t="shared" si="117"/>
        <v>0</v>
      </c>
      <c r="Q368" s="65">
        <f t="shared" si="117"/>
        <v>0</v>
      </c>
      <c r="R368" s="65">
        <f t="shared" si="117"/>
        <v>0</v>
      </c>
      <c r="S368" s="65">
        <f t="shared" si="117"/>
        <v>0</v>
      </c>
      <c r="T368" s="65">
        <f t="shared" si="117"/>
        <v>0</v>
      </c>
      <c r="U368" s="65">
        <f t="shared" si="117"/>
        <v>0</v>
      </c>
      <c r="V368" s="65">
        <f t="shared" si="117"/>
        <v>0</v>
      </c>
      <c r="W368" s="65">
        <f t="shared" si="117"/>
        <v>0</v>
      </c>
      <c r="X368" s="65">
        <f t="shared" si="117"/>
        <v>0</v>
      </c>
      <c r="Y368" s="65">
        <f t="shared" si="117"/>
        <v>1050000</v>
      </c>
      <c r="Z368" s="65">
        <f t="shared" si="117"/>
        <v>874479.34999999986</v>
      </c>
      <c r="AA368" s="65">
        <f t="shared" si="117"/>
        <v>0</v>
      </c>
      <c r="AB368" s="66" t="s">
        <v>423</v>
      </c>
      <c r="AC368" s="66" t="s">
        <v>423</v>
      </c>
      <c r="AD368" s="66" t="s">
        <v>423</v>
      </c>
    </row>
    <row r="369" spans="1:30" x14ac:dyDescent="0.3">
      <c r="A369">
        <v>1</v>
      </c>
      <c r="B369" s="68">
        <f>SUBTOTAL(9,$A$341:A369)</f>
        <v>28</v>
      </c>
      <c r="C369" s="73" t="s">
        <v>164</v>
      </c>
      <c r="D369" s="79" t="s">
        <v>169</v>
      </c>
      <c r="E369" s="65">
        <f t="shared" ref="E369:E373" si="118">F369+G369+H369+I369+J369+K369+M369+O369+Q369+S369+U369+V369+W369+X369+Z369+AA369+Y369</f>
        <v>22410887.949999999</v>
      </c>
      <c r="F369" s="72">
        <v>0</v>
      </c>
      <c r="G369" s="72">
        <v>0</v>
      </c>
      <c r="H369" s="72">
        <v>0</v>
      </c>
      <c r="I369" s="72">
        <v>0</v>
      </c>
      <c r="J369" s="72">
        <v>0</v>
      </c>
      <c r="K369" s="72">
        <v>0</v>
      </c>
      <c r="L369" s="156">
        <v>0</v>
      </c>
      <c r="M369" s="72">
        <v>0</v>
      </c>
      <c r="N369" s="72">
        <v>1765.4</v>
      </c>
      <c r="O369" s="72">
        <v>21833387.140000001</v>
      </c>
      <c r="P369" s="77">
        <v>0</v>
      </c>
      <c r="Q369" s="77">
        <v>0</v>
      </c>
      <c r="R369" s="77">
        <v>0</v>
      </c>
      <c r="S369" s="77">
        <v>0</v>
      </c>
      <c r="T369" s="77">
        <v>0</v>
      </c>
      <c r="U369" s="77">
        <v>0</v>
      </c>
      <c r="V369" s="77">
        <v>0</v>
      </c>
      <c r="W369" s="77">
        <v>0</v>
      </c>
      <c r="X369" s="77">
        <v>0</v>
      </c>
      <c r="Y369" s="77">
        <v>250000</v>
      </c>
      <c r="Z369" s="77">
        <f t="shared" ref="Z369:Z373" si="119">ROUND(O369*1.5%,2)</f>
        <v>327500.81</v>
      </c>
      <c r="AA369" s="77">
        <v>0</v>
      </c>
      <c r="AB369" s="70">
        <v>2028</v>
      </c>
      <c r="AC369" s="70">
        <v>2028</v>
      </c>
      <c r="AD369" s="70">
        <v>2028</v>
      </c>
    </row>
    <row r="370" spans="1:30" x14ac:dyDescent="0.3">
      <c r="A370">
        <v>1</v>
      </c>
      <c r="B370" s="68">
        <f>SUBTOTAL(9,$A$341:A370)</f>
        <v>29</v>
      </c>
      <c r="C370" s="73" t="s">
        <v>165</v>
      </c>
      <c r="D370" s="79" t="s">
        <v>169</v>
      </c>
      <c r="E370" s="65">
        <f t="shared" si="118"/>
        <v>5179360.0799999991</v>
      </c>
      <c r="F370" s="72">
        <v>0</v>
      </c>
      <c r="G370" s="72">
        <v>0</v>
      </c>
      <c r="H370" s="72">
        <v>0</v>
      </c>
      <c r="I370" s="72">
        <v>0</v>
      </c>
      <c r="J370" s="72">
        <v>0</v>
      </c>
      <c r="K370" s="72">
        <v>0</v>
      </c>
      <c r="L370" s="156">
        <v>0</v>
      </c>
      <c r="M370" s="72">
        <v>0</v>
      </c>
      <c r="N370" s="72">
        <v>408</v>
      </c>
      <c r="O370" s="72">
        <v>4955034.5599999996</v>
      </c>
      <c r="P370" s="77">
        <v>0</v>
      </c>
      <c r="Q370" s="77">
        <v>0</v>
      </c>
      <c r="R370" s="77">
        <v>0</v>
      </c>
      <c r="S370" s="77">
        <v>0</v>
      </c>
      <c r="T370" s="77">
        <v>0</v>
      </c>
      <c r="U370" s="77">
        <v>0</v>
      </c>
      <c r="V370" s="77">
        <v>0</v>
      </c>
      <c r="W370" s="77">
        <v>0</v>
      </c>
      <c r="X370" s="77">
        <v>0</v>
      </c>
      <c r="Y370" s="77">
        <v>150000</v>
      </c>
      <c r="Z370" s="77">
        <f t="shared" si="119"/>
        <v>74325.52</v>
      </c>
      <c r="AA370" s="77">
        <v>0</v>
      </c>
      <c r="AB370" s="70">
        <v>2028</v>
      </c>
      <c r="AC370" s="70">
        <v>2028</v>
      </c>
      <c r="AD370" s="70">
        <v>2028</v>
      </c>
    </row>
    <row r="371" spans="1:30" x14ac:dyDescent="0.3">
      <c r="A371">
        <v>1</v>
      </c>
      <c r="B371" s="68">
        <f>SUBTOTAL(9,$A$341:A371)</f>
        <v>30</v>
      </c>
      <c r="C371" s="73" t="s">
        <v>166</v>
      </c>
      <c r="D371" s="79" t="s">
        <v>169</v>
      </c>
      <c r="E371" s="65">
        <f t="shared" si="118"/>
        <v>5462447.6500000004</v>
      </c>
      <c r="F371" s="72">
        <v>0</v>
      </c>
      <c r="G371" s="72">
        <v>0</v>
      </c>
      <c r="H371" s="72">
        <v>0</v>
      </c>
      <c r="I371" s="72">
        <v>0</v>
      </c>
      <c r="J371" s="72">
        <v>0</v>
      </c>
      <c r="K371" s="72">
        <v>0</v>
      </c>
      <c r="L371" s="156">
        <v>0</v>
      </c>
      <c r="M371" s="72">
        <v>0</v>
      </c>
      <c r="N371" s="72">
        <v>430.3</v>
      </c>
      <c r="O371" s="72">
        <v>5184677.49</v>
      </c>
      <c r="P371" s="77">
        <v>0</v>
      </c>
      <c r="Q371" s="77">
        <v>0</v>
      </c>
      <c r="R371" s="77">
        <v>0</v>
      </c>
      <c r="S371" s="77">
        <v>0</v>
      </c>
      <c r="T371" s="77">
        <v>0</v>
      </c>
      <c r="U371" s="77">
        <v>0</v>
      </c>
      <c r="V371" s="77">
        <v>0</v>
      </c>
      <c r="W371" s="77">
        <v>0</v>
      </c>
      <c r="X371" s="77">
        <v>0</v>
      </c>
      <c r="Y371" s="77">
        <v>200000</v>
      </c>
      <c r="Z371" s="77">
        <f t="shared" si="119"/>
        <v>77770.16</v>
      </c>
      <c r="AA371" s="77">
        <v>0</v>
      </c>
      <c r="AB371" s="70">
        <v>2028</v>
      </c>
      <c r="AC371" s="70">
        <v>2028</v>
      </c>
      <c r="AD371" s="70">
        <v>2028</v>
      </c>
    </row>
    <row r="372" spans="1:30" x14ac:dyDescent="0.3">
      <c r="A372">
        <v>1</v>
      </c>
      <c r="B372" s="68">
        <f>SUBTOTAL(9,$A$341:A372)</f>
        <v>31</v>
      </c>
      <c r="C372" s="73" t="s">
        <v>167</v>
      </c>
      <c r="D372" s="79" t="s">
        <v>169</v>
      </c>
      <c r="E372" s="65">
        <f t="shared" si="118"/>
        <v>10887319.560000001</v>
      </c>
      <c r="F372" s="72">
        <v>0</v>
      </c>
      <c r="G372" s="72">
        <v>0</v>
      </c>
      <c r="H372" s="72">
        <v>0</v>
      </c>
      <c r="I372" s="72">
        <v>0</v>
      </c>
      <c r="J372" s="72">
        <v>0</v>
      </c>
      <c r="K372" s="72">
        <v>0</v>
      </c>
      <c r="L372" s="156">
        <v>0</v>
      </c>
      <c r="M372" s="72">
        <v>0</v>
      </c>
      <c r="N372" s="72">
        <v>857.64</v>
      </c>
      <c r="O372" s="72">
        <v>10529378.880000001</v>
      </c>
      <c r="P372" s="77">
        <v>0</v>
      </c>
      <c r="Q372" s="77">
        <v>0</v>
      </c>
      <c r="R372" s="77">
        <v>0</v>
      </c>
      <c r="S372" s="77">
        <v>0</v>
      </c>
      <c r="T372" s="77">
        <v>0</v>
      </c>
      <c r="U372" s="77">
        <v>0</v>
      </c>
      <c r="V372" s="77">
        <v>0</v>
      </c>
      <c r="W372" s="77">
        <v>0</v>
      </c>
      <c r="X372" s="77">
        <v>0</v>
      </c>
      <c r="Y372" s="77">
        <v>200000</v>
      </c>
      <c r="Z372" s="77">
        <f t="shared" si="119"/>
        <v>157940.68</v>
      </c>
      <c r="AA372" s="77">
        <v>0</v>
      </c>
      <c r="AB372" s="70">
        <v>2028</v>
      </c>
      <c r="AC372" s="70">
        <v>2028</v>
      </c>
      <c r="AD372" s="70">
        <v>2028</v>
      </c>
    </row>
    <row r="373" spans="1:30" x14ac:dyDescent="0.3">
      <c r="A373">
        <v>1</v>
      </c>
      <c r="B373" s="68">
        <f>SUBTOTAL(9,$A$341:A373)</f>
        <v>32</v>
      </c>
      <c r="C373" s="73" t="s">
        <v>168</v>
      </c>
      <c r="D373" s="79" t="s">
        <v>169</v>
      </c>
      <c r="E373" s="65">
        <f t="shared" si="118"/>
        <v>16283087.65</v>
      </c>
      <c r="F373" s="72">
        <v>0</v>
      </c>
      <c r="G373" s="72">
        <v>0</v>
      </c>
      <c r="H373" s="72">
        <v>0</v>
      </c>
      <c r="I373" s="72">
        <v>0</v>
      </c>
      <c r="J373" s="72">
        <v>0</v>
      </c>
      <c r="K373" s="72">
        <v>0</v>
      </c>
      <c r="L373" s="156">
        <v>0</v>
      </c>
      <c r="M373" s="72">
        <v>0</v>
      </c>
      <c r="N373" s="72">
        <v>1259</v>
      </c>
      <c r="O373" s="72">
        <v>15796145.470000001</v>
      </c>
      <c r="P373" s="77">
        <v>0</v>
      </c>
      <c r="Q373" s="77">
        <v>0</v>
      </c>
      <c r="R373" s="77">
        <v>0</v>
      </c>
      <c r="S373" s="77">
        <v>0</v>
      </c>
      <c r="T373" s="77">
        <v>0</v>
      </c>
      <c r="U373" s="77">
        <v>0</v>
      </c>
      <c r="V373" s="77">
        <v>0</v>
      </c>
      <c r="W373" s="77">
        <v>0</v>
      </c>
      <c r="X373" s="77">
        <v>0</v>
      </c>
      <c r="Y373" s="77">
        <v>250000</v>
      </c>
      <c r="Z373" s="77">
        <f t="shared" si="119"/>
        <v>236942.18</v>
      </c>
      <c r="AA373" s="77">
        <v>0</v>
      </c>
      <c r="AB373" s="70">
        <v>2028</v>
      </c>
      <c r="AC373" s="70">
        <v>2028</v>
      </c>
      <c r="AD373" s="70">
        <v>2028</v>
      </c>
    </row>
    <row r="374" spans="1:30" x14ac:dyDescent="0.3">
      <c r="B374" s="62" t="s">
        <v>415</v>
      </c>
      <c r="C374" s="63"/>
      <c r="D374" s="64"/>
      <c r="E374" s="65">
        <f t="shared" ref="E374:AA374" si="120">SUM(E375:E387)</f>
        <v>176719887.50999999</v>
      </c>
      <c r="F374" s="65">
        <f t="shared" si="120"/>
        <v>0</v>
      </c>
      <c r="G374" s="65">
        <f t="shared" si="120"/>
        <v>0</v>
      </c>
      <c r="H374" s="65">
        <f t="shared" si="120"/>
        <v>1641243.74</v>
      </c>
      <c r="I374" s="65">
        <f t="shared" si="120"/>
        <v>0</v>
      </c>
      <c r="J374" s="65">
        <f t="shared" si="120"/>
        <v>0</v>
      </c>
      <c r="K374" s="65">
        <f t="shared" si="120"/>
        <v>0</v>
      </c>
      <c r="L374" s="152">
        <f t="shared" si="120"/>
        <v>0</v>
      </c>
      <c r="M374" s="65">
        <f t="shared" si="120"/>
        <v>0</v>
      </c>
      <c r="N374" s="65">
        <f t="shared" si="120"/>
        <v>12418.7</v>
      </c>
      <c r="O374" s="65">
        <f t="shared" si="120"/>
        <v>169787216.87</v>
      </c>
      <c r="P374" s="65">
        <f t="shared" si="120"/>
        <v>0</v>
      </c>
      <c r="Q374" s="65">
        <f t="shared" si="120"/>
        <v>0</v>
      </c>
      <c r="R374" s="65">
        <f t="shared" si="120"/>
        <v>0</v>
      </c>
      <c r="S374" s="65">
        <f t="shared" si="120"/>
        <v>0</v>
      </c>
      <c r="T374" s="65">
        <f t="shared" si="120"/>
        <v>0</v>
      </c>
      <c r="U374" s="65">
        <f t="shared" si="120"/>
        <v>0</v>
      </c>
      <c r="V374" s="65">
        <f t="shared" si="120"/>
        <v>0</v>
      </c>
      <c r="W374" s="65">
        <f t="shared" si="120"/>
        <v>0</v>
      </c>
      <c r="X374" s="65">
        <f t="shared" si="120"/>
        <v>0</v>
      </c>
      <c r="Y374" s="65">
        <f t="shared" si="120"/>
        <v>2600000</v>
      </c>
      <c r="Z374" s="65">
        <f t="shared" si="120"/>
        <v>2571426.9000000004</v>
      </c>
      <c r="AA374" s="65">
        <f t="shared" si="120"/>
        <v>120000</v>
      </c>
      <c r="AB374" s="66" t="s">
        <v>423</v>
      </c>
      <c r="AC374" s="66" t="s">
        <v>423</v>
      </c>
      <c r="AD374" s="66" t="s">
        <v>423</v>
      </c>
    </row>
    <row r="375" spans="1:30" x14ac:dyDescent="0.3">
      <c r="A375">
        <v>1</v>
      </c>
      <c r="B375" s="68">
        <f>SUBTOTAL(9,$A$341:A375)</f>
        <v>33</v>
      </c>
      <c r="C375" s="73" t="s">
        <v>140</v>
      </c>
      <c r="D375" s="79" t="s">
        <v>153</v>
      </c>
      <c r="E375" s="65">
        <f>F375+G375+H375+I375+J375+K375+M375+O375+Q375+S375+U375+V375+W375+X375+Z375+AA375+Y375</f>
        <v>10395863.940000001</v>
      </c>
      <c r="F375" s="77">
        <v>0</v>
      </c>
      <c r="G375" s="77">
        <v>0</v>
      </c>
      <c r="H375" s="77">
        <v>0</v>
      </c>
      <c r="I375" s="77">
        <v>0</v>
      </c>
      <c r="J375" s="77">
        <v>0</v>
      </c>
      <c r="K375" s="77">
        <v>0</v>
      </c>
      <c r="L375" s="155">
        <v>0</v>
      </c>
      <c r="M375" s="77">
        <v>0</v>
      </c>
      <c r="N375" s="72">
        <v>578.70000000000005</v>
      </c>
      <c r="O375" s="72">
        <v>9976220.6300000008</v>
      </c>
      <c r="P375" s="77">
        <v>0</v>
      </c>
      <c r="Q375" s="77">
        <v>0</v>
      </c>
      <c r="R375" s="77">
        <v>0</v>
      </c>
      <c r="S375" s="77">
        <v>0</v>
      </c>
      <c r="T375" s="77">
        <v>0</v>
      </c>
      <c r="U375" s="77">
        <v>0</v>
      </c>
      <c r="V375" s="77">
        <v>0</v>
      </c>
      <c r="W375" s="77">
        <v>0</v>
      </c>
      <c r="X375" s="77">
        <v>0</v>
      </c>
      <c r="Y375" s="77">
        <v>150000</v>
      </c>
      <c r="Z375" s="77">
        <f>ROUND(O375*1.5%,2)</f>
        <v>149643.31</v>
      </c>
      <c r="AA375" s="77">
        <v>120000</v>
      </c>
      <c r="AB375" s="70">
        <v>2028</v>
      </c>
      <c r="AC375" s="70">
        <v>2028</v>
      </c>
      <c r="AD375" s="70">
        <v>2028</v>
      </c>
    </row>
    <row r="376" spans="1:30" x14ac:dyDescent="0.3">
      <c r="A376">
        <v>1</v>
      </c>
      <c r="B376" s="68">
        <f>SUBTOTAL(9,$A$341:A376)</f>
        <v>34</v>
      </c>
      <c r="C376" s="73" t="s">
        <v>141</v>
      </c>
      <c r="D376" s="79" t="s">
        <v>153</v>
      </c>
      <c r="E376" s="65">
        <f t="shared" ref="E376:E387" si="121">F376+G376+H376+I376+J376+K376+M376+O376+Q376+S376+U376+V376+W376+X376+Z376+AA376+Y376</f>
        <v>14573297.48</v>
      </c>
      <c r="F376" s="77">
        <v>0</v>
      </c>
      <c r="G376" s="77">
        <v>0</v>
      </c>
      <c r="H376" s="77">
        <v>0</v>
      </c>
      <c r="I376" s="77">
        <v>0</v>
      </c>
      <c r="J376" s="77">
        <v>0</v>
      </c>
      <c r="K376" s="77">
        <v>0</v>
      </c>
      <c r="L376" s="155">
        <v>0</v>
      </c>
      <c r="M376" s="77">
        <v>0</v>
      </c>
      <c r="N376" s="72">
        <v>1148</v>
      </c>
      <c r="O376" s="72">
        <v>14160884.220000001</v>
      </c>
      <c r="P376" s="77">
        <v>0</v>
      </c>
      <c r="Q376" s="77">
        <v>0</v>
      </c>
      <c r="R376" s="77">
        <v>0</v>
      </c>
      <c r="S376" s="77">
        <v>0</v>
      </c>
      <c r="T376" s="77">
        <v>0</v>
      </c>
      <c r="U376" s="77">
        <v>0</v>
      </c>
      <c r="V376" s="77">
        <v>0</v>
      </c>
      <c r="W376" s="77">
        <v>0</v>
      </c>
      <c r="X376" s="77">
        <v>0</v>
      </c>
      <c r="Y376" s="77">
        <v>200000</v>
      </c>
      <c r="Z376" s="77">
        <f t="shared" ref="Z376:Z387" si="122">ROUND(O376*1.5%,2)</f>
        <v>212413.26</v>
      </c>
      <c r="AA376" s="77">
        <v>0</v>
      </c>
      <c r="AB376" s="70">
        <v>2028</v>
      </c>
      <c r="AC376" s="70">
        <v>2028</v>
      </c>
      <c r="AD376" s="70">
        <v>2028</v>
      </c>
    </row>
    <row r="377" spans="1:30" x14ac:dyDescent="0.3">
      <c r="A377">
        <v>1</v>
      </c>
      <c r="B377" s="68">
        <f>SUBTOTAL(9,$A$341:A377)</f>
        <v>35</v>
      </c>
      <c r="C377" s="73" t="s">
        <v>142</v>
      </c>
      <c r="D377" s="79" t="s">
        <v>153</v>
      </c>
      <c r="E377" s="65">
        <f t="shared" si="121"/>
        <v>1815862.4</v>
      </c>
      <c r="F377" s="77">
        <v>0</v>
      </c>
      <c r="G377" s="77">
        <v>0</v>
      </c>
      <c r="H377" s="71">
        <v>1641243.74</v>
      </c>
      <c r="I377" s="77">
        <v>0</v>
      </c>
      <c r="J377" s="77">
        <v>0</v>
      </c>
      <c r="K377" s="77">
        <v>0</v>
      </c>
      <c r="L377" s="155">
        <v>0</v>
      </c>
      <c r="M377" s="77">
        <v>0</v>
      </c>
      <c r="N377" s="72">
        <v>0</v>
      </c>
      <c r="O377" s="72">
        <v>0</v>
      </c>
      <c r="P377" s="77">
        <v>0</v>
      </c>
      <c r="Q377" s="77">
        <v>0</v>
      </c>
      <c r="R377" s="77">
        <v>0</v>
      </c>
      <c r="S377" s="77">
        <v>0</v>
      </c>
      <c r="T377" s="77">
        <v>0</v>
      </c>
      <c r="U377" s="77">
        <v>0</v>
      </c>
      <c r="V377" s="77">
        <v>0</v>
      </c>
      <c r="W377" s="77">
        <v>0</v>
      </c>
      <c r="X377" s="77">
        <v>0</v>
      </c>
      <c r="Y377" s="77">
        <v>150000</v>
      </c>
      <c r="Z377" s="77">
        <f>ROUND(H377*1.5%,2)</f>
        <v>24618.66</v>
      </c>
      <c r="AA377" s="77">
        <v>0</v>
      </c>
      <c r="AB377" s="70">
        <v>2028</v>
      </c>
      <c r="AC377" s="70">
        <v>2028</v>
      </c>
      <c r="AD377" s="70">
        <v>2028</v>
      </c>
    </row>
    <row r="378" spans="1:30" x14ac:dyDescent="0.3">
      <c r="A378">
        <v>1</v>
      </c>
      <c r="B378" s="68">
        <f>SUBTOTAL(9,$A$341:A378)</f>
        <v>36</v>
      </c>
      <c r="C378" s="73" t="s">
        <v>143</v>
      </c>
      <c r="D378" s="79" t="s">
        <v>153</v>
      </c>
      <c r="E378" s="65">
        <f t="shared" si="121"/>
        <v>13963961</v>
      </c>
      <c r="F378" s="77">
        <v>0</v>
      </c>
      <c r="G378" s="77">
        <v>0</v>
      </c>
      <c r="H378" s="77">
        <v>0</v>
      </c>
      <c r="I378" s="77">
        <v>0</v>
      </c>
      <c r="J378" s="77">
        <v>0</v>
      </c>
      <c r="K378" s="77">
        <v>0</v>
      </c>
      <c r="L378" s="155">
        <v>0</v>
      </c>
      <c r="M378" s="77">
        <v>0</v>
      </c>
      <c r="N378" s="72">
        <v>1100</v>
      </c>
      <c r="O378" s="72">
        <v>13560552.710000001</v>
      </c>
      <c r="P378" s="77">
        <v>0</v>
      </c>
      <c r="Q378" s="77">
        <v>0</v>
      </c>
      <c r="R378" s="77">
        <v>0</v>
      </c>
      <c r="S378" s="77">
        <v>0</v>
      </c>
      <c r="T378" s="77">
        <v>0</v>
      </c>
      <c r="U378" s="77">
        <v>0</v>
      </c>
      <c r="V378" s="77">
        <v>0</v>
      </c>
      <c r="W378" s="77">
        <v>0</v>
      </c>
      <c r="X378" s="77">
        <v>0</v>
      </c>
      <c r="Y378" s="77">
        <v>200000</v>
      </c>
      <c r="Z378" s="77">
        <f t="shared" si="122"/>
        <v>203408.29</v>
      </c>
      <c r="AA378" s="77">
        <v>0</v>
      </c>
      <c r="AB378" s="70">
        <v>2028</v>
      </c>
      <c r="AC378" s="70">
        <v>2028</v>
      </c>
      <c r="AD378" s="70">
        <v>2028</v>
      </c>
    </row>
    <row r="379" spans="1:30" x14ac:dyDescent="0.3">
      <c r="A379">
        <v>1</v>
      </c>
      <c r="B379" s="68">
        <f>SUBTOTAL(9,$A$341:A379)</f>
        <v>37</v>
      </c>
      <c r="C379" s="73" t="s">
        <v>144</v>
      </c>
      <c r="D379" s="79" t="s">
        <v>153</v>
      </c>
      <c r="E379" s="65">
        <f t="shared" si="121"/>
        <v>24957255.399999999</v>
      </c>
      <c r="F379" s="77">
        <v>0</v>
      </c>
      <c r="G379" s="77">
        <v>0</v>
      </c>
      <c r="H379" s="77">
        <v>0</v>
      </c>
      <c r="I379" s="77">
        <v>0</v>
      </c>
      <c r="J379" s="77">
        <v>0</v>
      </c>
      <c r="K379" s="77">
        <v>0</v>
      </c>
      <c r="L379" s="155">
        <v>0</v>
      </c>
      <c r="M379" s="77">
        <v>0</v>
      </c>
      <c r="N379" s="72">
        <v>1390</v>
      </c>
      <c r="O379" s="72">
        <v>24391384.629999999</v>
      </c>
      <c r="P379" s="77">
        <v>0</v>
      </c>
      <c r="Q379" s="77">
        <v>0</v>
      </c>
      <c r="R379" s="77">
        <v>0</v>
      </c>
      <c r="S379" s="77">
        <v>0</v>
      </c>
      <c r="T379" s="77">
        <v>0</v>
      </c>
      <c r="U379" s="77">
        <v>0</v>
      </c>
      <c r="V379" s="77">
        <v>0</v>
      </c>
      <c r="W379" s="77">
        <v>0</v>
      </c>
      <c r="X379" s="77">
        <v>0</v>
      </c>
      <c r="Y379" s="77">
        <v>200000</v>
      </c>
      <c r="Z379" s="77">
        <f t="shared" si="122"/>
        <v>365870.77</v>
      </c>
      <c r="AA379" s="77">
        <v>0</v>
      </c>
      <c r="AB379" s="70">
        <v>2028</v>
      </c>
      <c r="AC379" s="70">
        <v>2028</v>
      </c>
      <c r="AD379" s="70">
        <v>2028</v>
      </c>
    </row>
    <row r="380" spans="1:30" x14ac:dyDescent="0.3">
      <c r="A380">
        <v>1</v>
      </c>
      <c r="B380" s="68">
        <f>SUBTOTAL(9,$A$341:A380)</f>
        <v>38</v>
      </c>
      <c r="C380" s="73" t="s">
        <v>145</v>
      </c>
      <c r="D380" s="79" t="s">
        <v>153</v>
      </c>
      <c r="E380" s="65">
        <f t="shared" si="121"/>
        <v>12105615.6</v>
      </c>
      <c r="F380" s="77">
        <v>0</v>
      </c>
      <c r="G380" s="77">
        <v>0</v>
      </c>
      <c r="H380" s="77">
        <v>0</v>
      </c>
      <c r="I380" s="77">
        <v>0</v>
      </c>
      <c r="J380" s="77">
        <v>0</v>
      </c>
      <c r="K380" s="77">
        <v>0</v>
      </c>
      <c r="L380" s="155">
        <v>0</v>
      </c>
      <c r="M380" s="77">
        <v>0</v>
      </c>
      <c r="N380" s="72">
        <v>936</v>
      </c>
      <c r="O380" s="72">
        <v>11729670.539999999</v>
      </c>
      <c r="P380" s="77">
        <v>0</v>
      </c>
      <c r="Q380" s="77">
        <v>0</v>
      </c>
      <c r="R380" s="77">
        <v>0</v>
      </c>
      <c r="S380" s="77">
        <v>0</v>
      </c>
      <c r="T380" s="77">
        <v>0</v>
      </c>
      <c r="U380" s="77">
        <v>0</v>
      </c>
      <c r="V380" s="77">
        <v>0</v>
      </c>
      <c r="W380" s="77">
        <v>0</v>
      </c>
      <c r="X380" s="77">
        <v>0</v>
      </c>
      <c r="Y380" s="77">
        <v>200000</v>
      </c>
      <c r="Z380" s="77">
        <f t="shared" si="122"/>
        <v>175945.06</v>
      </c>
      <c r="AA380" s="77">
        <v>0</v>
      </c>
      <c r="AB380" s="70">
        <v>2028</v>
      </c>
      <c r="AC380" s="70">
        <v>2028</v>
      </c>
      <c r="AD380" s="70">
        <v>2028</v>
      </c>
    </row>
    <row r="381" spans="1:30" x14ac:dyDescent="0.3">
      <c r="A381">
        <v>1</v>
      </c>
      <c r="B381" s="68">
        <f>SUBTOTAL(9,$A$341:A381)</f>
        <v>39</v>
      </c>
      <c r="C381" s="73" t="s">
        <v>146</v>
      </c>
      <c r="D381" s="79" t="s">
        <v>153</v>
      </c>
      <c r="E381" s="65">
        <f t="shared" si="121"/>
        <v>7515149.9199999999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155">
        <v>0</v>
      </c>
      <c r="M381" s="77">
        <v>0</v>
      </c>
      <c r="N381" s="72">
        <v>592</v>
      </c>
      <c r="O381" s="72">
        <v>7207044.2599999998</v>
      </c>
      <c r="P381" s="77">
        <v>0</v>
      </c>
      <c r="Q381" s="77">
        <v>0</v>
      </c>
      <c r="R381" s="77">
        <v>0</v>
      </c>
      <c r="S381" s="77">
        <v>0</v>
      </c>
      <c r="T381" s="77">
        <v>0</v>
      </c>
      <c r="U381" s="77">
        <v>0</v>
      </c>
      <c r="V381" s="77">
        <v>0</v>
      </c>
      <c r="W381" s="77">
        <v>0</v>
      </c>
      <c r="X381" s="77">
        <v>0</v>
      </c>
      <c r="Y381" s="77">
        <v>200000</v>
      </c>
      <c r="Z381" s="77">
        <f t="shared" si="122"/>
        <v>108105.66</v>
      </c>
      <c r="AA381" s="77">
        <v>0</v>
      </c>
      <c r="AB381" s="70">
        <v>2028</v>
      </c>
      <c r="AC381" s="70">
        <v>2028</v>
      </c>
      <c r="AD381" s="70">
        <v>2028</v>
      </c>
    </row>
    <row r="382" spans="1:30" x14ac:dyDescent="0.3">
      <c r="A382">
        <v>1</v>
      </c>
      <c r="B382" s="68">
        <f>SUBTOTAL(9,$A$341:A382)</f>
        <v>40</v>
      </c>
      <c r="C382" s="73" t="s">
        <v>147</v>
      </c>
      <c r="D382" s="79" t="s">
        <v>153</v>
      </c>
      <c r="E382" s="65">
        <f t="shared" si="121"/>
        <v>15525385.729999999</v>
      </c>
      <c r="F382" s="77">
        <v>0</v>
      </c>
      <c r="G382" s="77">
        <v>0</v>
      </c>
      <c r="H382" s="77">
        <v>0</v>
      </c>
      <c r="I382" s="77">
        <v>0</v>
      </c>
      <c r="J382" s="77">
        <v>0</v>
      </c>
      <c r="K382" s="77">
        <v>0</v>
      </c>
      <c r="L382" s="155">
        <v>0</v>
      </c>
      <c r="M382" s="77">
        <v>0</v>
      </c>
      <c r="N382" s="72">
        <v>1223</v>
      </c>
      <c r="O382" s="72">
        <v>15098902.199999999</v>
      </c>
      <c r="P382" s="77">
        <v>0</v>
      </c>
      <c r="Q382" s="77">
        <v>0</v>
      </c>
      <c r="R382" s="77">
        <v>0</v>
      </c>
      <c r="S382" s="77">
        <v>0</v>
      </c>
      <c r="T382" s="77">
        <v>0</v>
      </c>
      <c r="U382" s="77">
        <v>0</v>
      </c>
      <c r="V382" s="77">
        <v>0</v>
      </c>
      <c r="W382" s="77">
        <v>0</v>
      </c>
      <c r="X382" s="77">
        <v>0</v>
      </c>
      <c r="Y382" s="77">
        <v>200000</v>
      </c>
      <c r="Z382" s="77">
        <f t="shared" si="122"/>
        <v>226483.53</v>
      </c>
      <c r="AA382" s="77">
        <v>0</v>
      </c>
      <c r="AB382" s="70">
        <v>2028</v>
      </c>
      <c r="AC382" s="70">
        <v>2028</v>
      </c>
      <c r="AD382" s="70">
        <v>2028</v>
      </c>
    </row>
    <row r="383" spans="1:30" x14ac:dyDescent="0.3">
      <c r="A383">
        <v>1</v>
      </c>
      <c r="B383" s="68">
        <f>SUBTOTAL(9,$A$341:A383)</f>
        <v>41</v>
      </c>
      <c r="C383" s="73" t="s">
        <v>148</v>
      </c>
      <c r="D383" s="79" t="s">
        <v>153</v>
      </c>
      <c r="E383" s="65">
        <f t="shared" si="121"/>
        <v>6981980.5</v>
      </c>
      <c r="F383" s="77">
        <v>0</v>
      </c>
      <c r="G383" s="77">
        <v>0</v>
      </c>
      <c r="H383" s="77">
        <v>0</v>
      </c>
      <c r="I383" s="77">
        <v>0</v>
      </c>
      <c r="J383" s="77">
        <v>0</v>
      </c>
      <c r="K383" s="77">
        <v>0</v>
      </c>
      <c r="L383" s="155">
        <v>0</v>
      </c>
      <c r="M383" s="77">
        <v>0</v>
      </c>
      <c r="N383" s="72">
        <v>550</v>
      </c>
      <c r="O383" s="72">
        <v>6681754.1900000004</v>
      </c>
      <c r="P383" s="77">
        <v>0</v>
      </c>
      <c r="Q383" s="77">
        <v>0</v>
      </c>
      <c r="R383" s="77">
        <v>0</v>
      </c>
      <c r="S383" s="77">
        <v>0</v>
      </c>
      <c r="T383" s="77">
        <v>0</v>
      </c>
      <c r="U383" s="77">
        <v>0</v>
      </c>
      <c r="V383" s="77">
        <v>0</v>
      </c>
      <c r="W383" s="77">
        <v>0</v>
      </c>
      <c r="X383" s="77">
        <v>0</v>
      </c>
      <c r="Y383" s="77">
        <v>200000</v>
      </c>
      <c r="Z383" s="77">
        <f t="shared" si="122"/>
        <v>100226.31</v>
      </c>
      <c r="AA383" s="77">
        <v>0</v>
      </c>
      <c r="AB383" s="70">
        <v>2028</v>
      </c>
      <c r="AC383" s="70">
        <v>2028</v>
      </c>
      <c r="AD383" s="70">
        <v>2028</v>
      </c>
    </row>
    <row r="384" spans="1:30" x14ac:dyDescent="0.3">
      <c r="A384">
        <v>1</v>
      </c>
      <c r="B384" s="68">
        <f>SUBTOTAL(9,$A$341:A384)</f>
        <v>42</v>
      </c>
      <c r="C384" s="73" t="s">
        <v>149</v>
      </c>
      <c r="D384" s="79" t="s">
        <v>153</v>
      </c>
      <c r="E384" s="65">
        <f t="shared" si="121"/>
        <v>14560201.200000001</v>
      </c>
      <c r="F384" s="77">
        <v>0</v>
      </c>
      <c r="G384" s="77">
        <v>0</v>
      </c>
      <c r="H384" s="77">
        <v>0</v>
      </c>
      <c r="I384" s="77">
        <v>0</v>
      </c>
      <c r="J384" s="77">
        <v>0</v>
      </c>
      <c r="K384" s="77">
        <v>0</v>
      </c>
      <c r="L384" s="155">
        <v>0</v>
      </c>
      <c r="M384" s="77">
        <v>0</v>
      </c>
      <c r="N384" s="72">
        <v>1147</v>
      </c>
      <c r="O384" s="72">
        <v>14147981.48</v>
      </c>
      <c r="P384" s="77">
        <v>0</v>
      </c>
      <c r="Q384" s="77">
        <v>0</v>
      </c>
      <c r="R384" s="77">
        <v>0</v>
      </c>
      <c r="S384" s="77">
        <v>0</v>
      </c>
      <c r="T384" s="77">
        <v>0</v>
      </c>
      <c r="U384" s="77">
        <v>0</v>
      </c>
      <c r="V384" s="77">
        <v>0</v>
      </c>
      <c r="W384" s="77">
        <v>0</v>
      </c>
      <c r="X384" s="77">
        <v>0</v>
      </c>
      <c r="Y384" s="77">
        <v>200000</v>
      </c>
      <c r="Z384" s="77">
        <f t="shared" si="122"/>
        <v>212219.72</v>
      </c>
      <c r="AA384" s="77">
        <v>0</v>
      </c>
      <c r="AB384" s="70">
        <v>2028</v>
      </c>
      <c r="AC384" s="70">
        <v>2028</v>
      </c>
      <c r="AD384" s="70">
        <v>2028</v>
      </c>
    </row>
    <row r="385" spans="1:30" x14ac:dyDescent="0.3">
      <c r="A385">
        <v>1</v>
      </c>
      <c r="B385" s="68">
        <f>SUBTOTAL(9,$A$341:A385)</f>
        <v>43</v>
      </c>
      <c r="C385" s="73" t="s">
        <v>150</v>
      </c>
      <c r="D385" s="79" t="s">
        <v>153</v>
      </c>
      <c r="E385" s="65">
        <f>F385+G385+H385+I385+J385+K385+M385+O385+Q385+S385+U385+V385+W385+X385+Z385+AA385+Y385</f>
        <v>7438982.8600000003</v>
      </c>
      <c r="F385" s="77">
        <v>0</v>
      </c>
      <c r="G385" s="77">
        <v>0</v>
      </c>
      <c r="H385" s="77">
        <v>0</v>
      </c>
      <c r="I385" s="77">
        <v>0</v>
      </c>
      <c r="J385" s="77">
        <v>0</v>
      </c>
      <c r="K385" s="77">
        <v>0</v>
      </c>
      <c r="L385" s="155">
        <v>0</v>
      </c>
      <c r="M385" s="77">
        <v>0</v>
      </c>
      <c r="N385" s="72">
        <v>586</v>
      </c>
      <c r="O385" s="72">
        <v>7132002.8200000003</v>
      </c>
      <c r="P385" s="77">
        <v>0</v>
      </c>
      <c r="Q385" s="77">
        <v>0</v>
      </c>
      <c r="R385" s="77">
        <v>0</v>
      </c>
      <c r="S385" s="77">
        <v>0</v>
      </c>
      <c r="T385" s="77">
        <v>0</v>
      </c>
      <c r="U385" s="77">
        <v>0</v>
      </c>
      <c r="V385" s="77">
        <v>0</v>
      </c>
      <c r="W385" s="77">
        <v>0</v>
      </c>
      <c r="X385" s="77">
        <v>0</v>
      </c>
      <c r="Y385" s="77">
        <v>200000</v>
      </c>
      <c r="Z385" s="77">
        <f t="shared" si="122"/>
        <v>106980.04</v>
      </c>
      <c r="AA385" s="77">
        <v>0</v>
      </c>
      <c r="AB385" s="70">
        <v>2028</v>
      </c>
      <c r="AC385" s="70">
        <v>2028</v>
      </c>
      <c r="AD385" s="70">
        <v>2028</v>
      </c>
    </row>
    <row r="386" spans="1:30" x14ac:dyDescent="0.3">
      <c r="A386">
        <v>1</v>
      </c>
      <c r="B386" s="68">
        <f>SUBTOTAL(9,$A$341:A386)</f>
        <v>44</v>
      </c>
      <c r="C386" s="73" t="s">
        <v>151</v>
      </c>
      <c r="D386" s="79" t="s">
        <v>153</v>
      </c>
      <c r="E386" s="65">
        <f t="shared" si="121"/>
        <v>24119569</v>
      </c>
      <c r="F386" s="98">
        <v>0</v>
      </c>
      <c r="G386" s="98">
        <v>0</v>
      </c>
      <c r="H386" s="98">
        <v>0</v>
      </c>
      <c r="I386" s="98">
        <v>0</v>
      </c>
      <c r="J386" s="98">
        <v>0</v>
      </c>
      <c r="K386" s="98">
        <v>0</v>
      </c>
      <c r="L386" s="158">
        <v>0</v>
      </c>
      <c r="M386" s="98">
        <v>0</v>
      </c>
      <c r="N386" s="99">
        <v>1900</v>
      </c>
      <c r="O386" s="72">
        <v>23516816.75</v>
      </c>
      <c r="P386" s="98">
        <v>0</v>
      </c>
      <c r="Q386" s="98">
        <v>0</v>
      </c>
      <c r="R386" s="98">
        <v>0</v>
      </c>
      <c r="S386" s="98">
        <v>0</v>
      </c>
      <c r="T386" s="98">
        <v>0</v>
      </c>
      <c r="U386" s="98">
        <v>0</v>
      </c>
      <c r="V386" s="98">
        <v>0</v>
      </c>
      <c r="W386" s="98">
        <v>0</v>
      </c>
      <c r="X386" s="98">
        <v>0</v>
      </c>
      <c r="Y386" s="77">
        <v>250000</v>
      </c>
      <c r="Z386" s="77">
        <f t="shared" si="122"/>
        <v>352752.25</v>
      </c>
      <c r="AA386" s="98">
        <v>0</v>
      </c>
      <c r="AB386" s="70">
        <v>2028</v>
      </c>
      <c r="AC386" s="70">
        <v>2028</v>
      </c>
      <c r="AD386" s="70">
        <v>2028</v>
      </c>
    </row>
    <row r="387" spans="1:30" x14ac:dyDescent="0.3">
      <c r="A387">
        <v>1</v>
      </c>
      <c r="B387" s="68">
        <f>SUBTOTAL(9,$A$341:A387)</f>
        <v>45</v>
      </c>
      <c r="C387" s="73" t="s">
        <v>152</v>
      </c>
      <c r="D387" s="79" t="s">
        <v>153</v>
      </c>
      <c r="E387" s="65">
        <f t="shared" si="121"/>
        <v>22766762.48</v>
      </c>
      <c r="F387" s="77">
        <v>0</v>
      </c>
      <c r="G387" s="77">
        <v>0</v>
      </c>
      <c r="H387" s="77">
        <v>0</v>
      </c>
      <c r="I387" s="77">
        <v>0</v>
      </c>
      <c r="J387" s="77">
        <v>0</v>
      </c>
      <c r="K387" s="77">
        <v>0</v>
      </c>
      <c r="L387" s="155">
        <v>0</v>
      </c>
      <c r="M387" s="77">
        <v>0</v>
      </c>
      <c r="N387" s="72">
        <v>1268</v>
      </c>
      <c r="O387" s="72">
        <v>22184002.440000001</v>
      </c>
      <c r="P387" s="77">
        <v>0</v>
      </c>
      <c r="Q387" s="77">
        <v>0</v>
      </c>
      <c r="R387" s="77">
        <v>0</v>
      </c>
      <c r="S387" s="77">
        <v>0</v>
      </c>
      <c r="T387" s="77">
        <v>0</v>
      </c>
      <c r="U387" s="77">
        <v>0</v>
      </c>
      <c r="V387" s="77">
        <v>0</v>
      </c>
      <c r="W387" s="77">
        <v>0</v>
      </c>
      <c r="X387" s="77">
        <v>0</v>
      </c>
      <c r="Y387" s="77">
        <v>250000</v>
      </c>
      <c r="Z387" s="77">
        <f t="shared" si="122"/>
        <v>332760.03999999998</v>
      </c>
      <c r="AA387" s="77">
        <v>0</v>
      </c>
      <c r="AB387" s="70">
        <v>2028</v>
      </c>
      <c r="AC387" s="70">
        <v>2028</v>
      </c>
      <c r="AD387" s="70">
        <v>2028</v>
      </c>
    </row>
    <row r="388" spans="1:30" x14ac:dyDescent="0.3">
      <c r="B388" s="62" t="s">
        <v>472</v>
      </c>
      <c r="C388" s="63"/>
      <c r="D388" s="64"/>
      <c r="E388" s="65">
        <f t="shared" ref="E388:AA388" si="123">SUM(E389:E399)</f>
        <v>142209192.10999998</v>
      </c>
      <c r="F388" s="65">
        <f t="shared" si="123"/>
        <v>0</v>
      </c>
      <c r="G388" s="65">
        <f t="shared" si="123"/>
        <v>0</v>
      </c>
      <c r="H388" s="65">
        <f t="shared" si="123"/>
        <v>0</v>
      </c>
      <c r="I388" s="65">
        <f t="shared" si="123"/>
        <v>0</v>
      </c>
      <c r="J388" s="65">
        <f t="shared" si="123"/>
        <v>0</v>
      </c>
      <c r="K388" s="65">
        <f t="shared" si="123"/>
        <v>0</v>
      </c>
      <c r="L388" s="152">
        <f t="shared" si="123"/>
        <v>0</v>
      </c>
      <c r="M388" s="65">
        <f t="shared" si="123"/>
        <v>0</v>
      </c>
      <c r="N388" s="65">
        <f t="shared" si="123"/>
        <v>11105.98</v>
      </c>
      <c r="O388" s="65">
        <f t="shared" si="123"/>
        <v>137841568.55999997</v>
      </c>
      <c r="P388" s="65">
        <f t="shared" si="123"/>
        <v>0</v>
      </c>
      <c r="Q388" s="65">
        <f t="shared" si="123"/>
        <v>0</v>
      </c>
      <c r="R388" s="65">
        <f t="shared" si="123"/>
        <v>0</v>
      </c>
      <c r="S388" s="65">
        <f t="shared" si="123"/>
        <v>0</v>
      </c>
      <c r="T388" s="65">
        <f t="shared" si="123"/>
        <v>0</v>
      </c>
      <c r="U388" s="65">
        <f t="shared" si="123"/>
        <v>0</v>
      </c>
      <c r="V388" s="65">
        <f t="shared" si="123"/>
        <v>0</v>
      </c>
      <c r="W388" s="65">
        <f t="shared" si="123"/>
        <v>0</v>
      </c>
      <c r="X388" s="65">
        <f t="shared" si="123"/>
        <v>0</v>
      </c>
      <c r="Y388" s="65">
        <f t="shared" si="123"/>
        <v>2300000</v>
      </c>
      <c r="Z388" s="65">
        <f t="shared" si="123"/>
        <v>2067623.5499999998</v>
      </c>
      <c r="AA388" s="65">
        <f t="shared" si="123"/>
        <v>0</v>
      </c>
      <c r="AB388" s="66" t="s">
        <v>423</v>
      </c>
      <c r="AC388" s="66" t="s">
        <v>423</v>
      </c>
      <c r="AD388" s="66" t="s">
        <v>423</v>
      </c>
    </row>
    <row r="389" spans="1:30" x14ac:dyDescent="0.3">
      <c r="A389">
        <v>1</v>
      </c>
      <c r="B389" s="68">
        <f>SUBTOTAL(9,$A$341:A389)</f>
        <v>46</v>
      </c>
      <c r="C389" s="73" t="s">
        <v>393</v>
      </c>
      <c r="D389" s="79" t="s">
        <v>473</v>
      </c>
      <c r="E389" s="65">
        <f t="shared" ref="E389:E399" si="124">F389+G389+H389+I389+J389+K389+M389+O389+Q389+S389+U389+V389+W389+X389+Z389+AA389+Y389</f>
        <v>7299343.25</v>
      </c>
      <c r="F389" s="77">
        <v>0</v>
      </c>
      <c r="G389" s="77">
        <v>0</v>
      </c>
      <c r="H389" s="77">
        <v>0</v>
      </c>
      <c r="I389" s="77">
        <v>0</v>
      </c>
      <c r="J389" s="77">
        <v>0</v>
      </c>
      <c r="K389" s="77">
        <v>0</v>
      </c>
      <c r="L389" s="154">
        <v>0</v>
      </c>
      <c r="M389" s="76">
        <v>0</v>
      </c>
      <c r="N389" s="72">
        <v>575</v>
      </c>
      <c r="O389" s="72">
        <v>6994426.8499999996</v>
      </c>
      <c r="P389" s="76">
        <v>0</v>
      </c>
      <c r="Q389" s="76">
        <v>0</v>
      </c>
      <c r="R389" s="72">
        <v>0</v>
      </c>
      <c r="S389" s="72">
        <v>0</v>
      </c>
      <c r="T389" s="77">
        <v>0</v>
      </c>
      <c r="U389" s="77">
        <v>0</v>
      </c>
      <c r="V389" s="77">
        <v>0</v>
      </c>
      <c r="W389" s="77">
        <v>0</v>
      </c>
      <c r="X389" s="77">
        <v>0</v>
      </c>
      <c r="Y389" s="77">
        <v>200000</v>
      </c>
      <c r="Z389" s="77">
        <f t="shared" ref="Z389:Z399" si="125">ROUND(O389*1.5%,2)</f>
        <v>104916.4</v>
      </c>
      <c r="AA389" s="77">
        <v>0</v>
      </c>
      <c r="AB389" s="70">
        <v>2028</v>
      </c>
      <c r="AC389" s="70">
        <v>2028</v>
      </c>
      <c r="AD389" s="70">
        <v>2028</v>
      </c>
    </row>
    <row r="390" spans="1:30" x14ac:dyDescent="0.3">
      <c r="A390">
        <v>1</v>
      </c>
      <c r="B390" s="68">
        <f>SUBTOTAL(9,$A$341:A390)</f>
        <v>47</v>
      </c>
      <c r="C390" s="73" t="s">
        <v>387</v>
      </c>
      <c r="D390" s="79" t="s">
        <v>473</v>
      </c>
      <c r="E390" s="65">
        <f t="shared" si="124"/>
        <v>10663388.399999999</v>
      </c>
      <c r="F390" s="77">
        <v>0</v>
      </c>
      <c r="G390" s="77">
        <v>0</v>
      </c>
      <c r="H390" s="77">
        <v>0</v>
      </c>
      <c r="I390" s="77">
        <v>0</v>
      </c>
      <c r="J390" s="77">
        <v>0</v>
      </c>
      <c r="K390" s="77">
        <v>0</v>
      </c>
      <c r="L390" s="154">
        <v>0</v>
      </c>
      <c r="M390" s="76">
        <v>0</v>
      </c>
      <c r="N390" s="72">
        <v>840</v>
      </c>
      <c r="O390" s="72">
        <v>10308757.039999999</v>
      </c>
      <c r="P390" s="76">
        <v>0</v>
      </c>
      <c r="Q390" s="76">
        <v>0</v>
      </c>
      <c r="R390" s="72">
        <v>0</v>
      </c>
      <c r="S390" s="72">
        <v>0</v>
      </c>
      <c r="T390" s="77">
        <v>0</v>
      </c>
      <c r="U390" s="77">
        <v>0</v>
      </c>
      <c r="V390" s="77">
        <v>0</v>
      </c>
      <c r="W390" s="77">
        <v>0</v>
      </c>
      <c r="X390" s="77">
        <v>0</v>
      </c>
      <c r="Y390" s="77">
        <v>200000</v>
      </c>
      <c r="Z390" s="77">
        <f t="shared" si="125"/>
        <v>154631.35999999999</v>
      </c>
      <c r="AA390" s="77">
        <v>0</v>
      </c>
      <c r="AB390" s="70">
        <v>2028</v>
      </c>
      <c r="AC390" s="70">
        <v>2028</v>
      </c>
      <c r="AD390" s="70">
        <v>2028</v>
      </c>
    </row>
    <row r="391" spans="1:30" x14ac:dyDescent="0.3">
      <c r="A391">
        <v>1</v>
      </c>
      <c r="B391" s="68">
        <f>SUBTOTAL(9,$A$341:A391)</f>
        <v>48</v>
      </c>
      <c r="C391" s="73" t="s">
        <v>401</v>
      </c>
      <c r="D391" s="79" t="s">
        <v>473</v>
      </c>
      <c r="E391" s="65">
        <f t="shared" si="124"/>
        <v>9842279.3499999996</v>
      </c>
      <c r="F391" s="77">
        <v>0</v>
      </c>
      <c r="G391" s="77">
        <v>0</v>
      </c>
      <c r="H391" s="77">
        <v>0</v>
      </c>
      <c r="I391" s="77">
        <v>0</v>
      </c>
      <c r="J391" s="77">
        <v>0</v>
      </c>
      <c r="K391" s="77">
        <v>0</v>
      </c>
      <c r="L391" s="154">
        <v>0</v>
      </c>
      <c r="M391" s="76">
        <v>0</v>
      </c>
      <c r="N391" s="72">
        <v>761</v>
      </c>
      <c r="O391" s="72">
        <v>9549043.6899999995</v>
      </c>
      <c r="P391" s="76">
        <v>0</v>
      </c>
      <c r="Q391" s="76">
        <v>0</v>
      </c>
      <c r="R391" s="76">
        <v>0</v>
      </c>
      <c r="S391" s="76">
        <v>0</v>
      </c>
      <c r="T391" s="77">
        <v>0</v>
      </c>
      <c r="U391" s="77">
        <v>0</v>
      </c>
      <c r="V391" s="77">
        <v>0</v>
      </c>
      <c r="W391" s="77">
        <v>0</v>
      </c>
      <c r="X391" s="77">
        <v>0</v>
      </c>
      <c r="Y391" s="77">
        <v>150000</v>
      </c>
      <c r="Z391" s="77">
        <f t="shared" si="125"/>
        <v>143235.66</v>
      </c>
      <c r="AA391" s="77">
        <v>0</v>
      </c>
      <c r="AB391" s="70">
        <v>2028</v>
      </c>
      <c r="AC391" s="70">
        <v>2028</v>
      </c>
      <c r="AD391" s="70">
        <v>2028</v>
      </c>
    </row>
    <row r="392" spans="1:30" x14ac:dyDescent="0.3">
      <c r="A392">
        <v>1</v>
      </c>
      <c r="B392" s="68">
        <f>SUBTOTAL(9,$A$341:A392)</f>
        <v>49</v>
      </c>
      <c r="C392" s="73" t="s">
        <v>410</v>
      </c>
      <c r="D392" s="79" t="s">
        <v>473</v>
      </c>
      <c r="E392" s="65">
        <f t="shared" si="124"/>
        <v>12082923.319999998</v>
      </c>
      <c r="F392" s="77">
        <v>0</v>
      </c>
      <c r="G392" s="77">
        <v>0</v>
      </c>
      <c r="H392" s="77">
        <v>0</v>
      </c>
      <c r="I392" s="77">
        <v>0</v>
      </c>
      <c r="J392" s="77">
        <v>0</v>
      </c>
      <c r="K392" s="77">
        <v>0</v>
      </c>
      <c r="L392" s="154">
        <v>0</v>
      </c>
      <c r="M392" s="76">
        <v>0</v>
      </c>
      <c r="N392" s="72">
        <v>932</v>
      </c>
      <c r="O392" s="72">
        <v>11707313.619999999</v>
      </c>
      <c r="P392" s="76">
        <v>0</v>
      </c>
      <c r="Q392" s="76">
        <v>0</v>
      </c>
      <c r="R392" s="76">
        <v>0</v>
      </c>
      <c r="S392" s="76">
        <v>0</v>
      </c>
      <c r="T392" s="77">
        <v>0</v>
      </c>
      <c r="U392" s="77">
        <v>0</v>
      </c>
      <c r="V392" s="77">
        <v>0</v>
      </c>
      <c r="W392" s="77">
        <v>0</v>
      </c>
      <c r="X392" s="77">
        <v>0</v>
      </c>
      <c r="Y392" s="77">
        <v>200000</v>
      </c>
      <c r="Z392" s="77">
        <f t="shared" si="125"/>
        <v>175609.7</v>
      </c>
      <c r="AA392" s="77">
        <v>0</v>
      </c>
      <c r="AB392" s="70">
        <v>2028</v>
      </c>
      <c r="AC392" s="70">
        <v>2028</v>
      </c>
      <c r="AD392" s="70">
        <v>2028</v>
      </c>
    </row>
    <row r="393" spans="1:30" x14ac:dyDescent="0.3">
      <c r="A393">
        <v>1</v>
      </c>
      <c r="B393" s="68">
        <f>SUBTOTAL(9,$A$341:A393)</f>
        <v>50</v>
      </c>
      <c r="C393" s="73" t="s">
        <v>389</v>
      </c>
      <c r="D393" s="79" t="s">
        <v>473</v>
      </c>
      <c r="E393" s="65">
        <f t="shared" si="124"/>
        <v>18706376.049999997</v>
      </c>
      <c r="F393" s="77">
        <v>0</v>
      </c>
      <c r="G393" s="77">
        <v>0</v>
      </c>
      <c r="H393" s="77">
        <v>0</v>
      </c>
      <c r="I393" s="77">
        <v>0</v>
      </c>
      <c r="J393" s="77">
        <v>0</v>
      </c>
      <c r="K393" s="77">
        <v>0</v>
      </c>
      <c r="L393" s="154">
        <v>0</v>
      </c>
      <c r="M393" s="72">
        <v>0</v>
      </c>
      <c r="N393" s="72">
        <v>1473.58</v>
      </c>
      <c r="O393" s="72">
        <v>18183621.719999999</v>
      </c>
      <c r="P393" s="76">
        <v>0</v>
      </c>
      <c r="Q393" s="76">
        <v>0</v>
      </c>
      <c r="R393" s="76">
        <v>0</v>
      </c>
      <c r="S393" s="76">
        <v>0</v>
      </c>
      <c r="T393" s="77">
        <v>0</v>
      </c>
      <c r="U393" s="77">
        <v>0</v>
      </c>
      <c r="V393" s="77">
        <v>0</v>
      </c>
      <c r="W393" s="77">
        <v>0</v>
      </c>
      <c r="X393" s="77">
        <v>0</v>
      </c>
      <c r="Y393" s="77">
        <v>250000</v>
      </c>
      <c r="Z393" s="77">
        <f t="shared" si="125"/>
        <v>272754.33</v>
      </c>
      <c r="AA393" s="77">
        <v>0</v>
      </c>
      <c r="AB393" s="70">
        <v>2028</v>
      </c>
      <c r="AC393" s="70">
        <v>2028</v>
      </c>
      <c r="AD393" s="70">
        <v>2028</v>
      </c>
    </row>
    <row r="394" spans="1:30" x14ac:dyDescent="0.3">
      <c r="A394">
        <v>1</v>
      </c>
      <c r="B394" s="68">
        <f>SUBTOTAL(9,$A$341:A394)</f>
        <v>51</v>
      </c>
      <c r="C394" s="73" t="s">
        <v>412</v>
      </c>
      <c r="D394" s="79" t="s">
        <v>473</v>
      </c>
      <c r="E394" s="65">
        <f t="shared" si="124"/>
        <v>7635849.8399999999</v>
      </c>
      <c r="F394" s="77">
        <v>0</v>
      </c>
      <c r="G394" s="77">
        <v>0</v>
      </c>
      <c r="H394" s="77">
        <v>0</v>
      </c>
      <c r="I394" s="77">
        <v>0</v>
      </c>
      <c r="J394" s="77">
        <v>0</v>
      </c>
      <c r="K394" s="77">
        <v>0</v>
      </c>
      <c r="L394" s="154">
        <v>0</v>
      </c>
      <c r="M394" s="76">
        <v>0</v>
      </c>
      <c r="N394" s="72">
        <v>590.4</v>
      </c>
      <c r="O394" s="72">
        <v>7325960.4299999997</v>
      </c>
      <c r="P394" s="76">
        <v>0</v>
      </c>
      <c r="Q394" s="76">
        <v>0</v>
      </c>
      <c r="R394" s="76">
        <v>0</v>
      </c>
      <c r="S394" s="76">
        <v>0</v>
      </c>
      <c r="T394" s="77">
        <v>0</v>
      </c>
      <c r="U394" s="77">
        <v>0</v>
      </c>
      <c r="V394" s="77">
        <v>0</v>
      </c>
      <c r="W394" s="77">
        <v>0</v>
      </c>
      <c r="X394" s="77">
        <v>0</v>
      </c>
      <c r="Y394" s="77">
        <v>200000</v>
      </c>
      <c r="Z394" s="77">
        <f t="shared" si="125"/>
        <v>109889.41</v>
      </c>
      <c r="AA394" s="77">
        <v>0</v>
      </c>
      <c r="AB394" s="70">
        <v>2028</v>
      </c>
      <c r="AC394" s="70">
        <v>2028</v>
      </c>
      <c r="AD394" s="70">
        <v>2028</v>
      </c>
    </row>
    <row r="395" spans="1:30" x14ac:dyDescent="0.3">
      <c r="A395">
        <v>1</v>
      </c>
      <c r="B395" s="68">
        <f>SUBTOTAL(9,$A$341:A395)</f>
        <v>52</v>
      </c>
      <c r="C395" s="73" t="s">
        <v>398</v>
      </c>
      <c r="D395" s="79" t="s">
        <v>473</v>
      </c>
      <c r="E395" s="65">
        <f t="shared" si="124"/>
        <v>14782819.050000001</v>
      </c>
      <c r="F395" s="77">
        <v>0</v>
      </c>
      <c r="G395" s="77">
        <v>0</v>
      </c>
      <c r="H395" s="77">
        <v>0</v>
      </c>
      <c r="I395" s="77">
        <v>0</v>
      </c>
      <c r="J395" s="77">
        <v>0</v>
      </c>
      <c r="K395" s="77">
        <v>0</v>
      </c>
      <c r="L395" s="154">
        <v>0</v>
      </c>
      <c r="M395" s="76">
        <v>0</v>
      </c>
      <c r="N395" s="72">
        <v>1143</v>
      </c>
      <c r="O395" s="72">
        <v>14416570.49</v>
      </c>
      <c r="P395" s="76">
        <v>0</v>
      </c>
      <c r="Q395" s="76">
        <v>0</v>
      </c>
      <c r="R395" s="76">
        <v>0</v>
      </c>
      <c r="S395" s="76">
        <v>0</v>
      </c>
      <c r="T395" s="77">
        <v>0</v>
      </c>
      <c r="U395" s="77">
        <v>0</v>
      </c>
      <c r="V395" s="77">
        <v>0</v>
      </c>
      <c r="W395" s="77">
        <v>0</v>
      </c>
      <c r="X395" s="77">
        <v>0</v>
      </c>
      <c r="Y395" s="77">
        <v>150000</v>
      </c>
      <c r="Z395" s="77">
        <f t="shared" si="125"/>
        <v>216248.56</v>
      </c>
      <c r="AA395" s="77">
        <v>0</v>
      </c>
      <c r="AB395" s="70">
        <v>2028</v>
      </c>
      <c r="AC395" s="70">
        <v>2028</v>
      </c>
      <c r="AD395" s="70">
        <v>2028</v>
      </c>
    </row>
    <row r="396" spans="1:30" x14ac:dyDescent="0.3">
      <c r="A396">
        <v>1</v>
      </c>
      <c r="B396" s="68">
        <f>SUBTOTAL(9,$A$341:A396)</f>
        <v>53</v>
      </c>
      <c r="C396" s="73" t="s">
        <v>390</v>
      </c>
      <c r="D396" s="79" t="s">
        <v>473</v>
      </c>
      <c r="E396" s="100">
        <f t="shared" si="124"/>
        <v>20473493.050000001</v>
      </c>
      <c r="F396" s="98">
        <v>0</v>
      </c>
      <c r="G396" s="98">
        <v>0</v>
      </c>
      <c r="H396" s="98">
        <v>0</v>
      </c>
      <c r="I396" s="98">
        <v>0</v>
      </c>
      <c r="J396" s="98">
        <v>0</v>
      </c>
      <c r="K396" s="98">
        <v>0</v>
      </c>
      <c r="L396" s="159">
        <v>0</v>
      </c>
      <c r="M396" s="99">
        <v>0</v>
      </c>
      <c r="N396" s="99">
        <v>1583</v>
      </c>
      <c r="O396" s="99">
        <v>19924623.690000001</v>
      </c>
      <c r="P396" s="101">
        <v>0</v>
      </c>
      <c r="Q396" s="101">
        <v>0</v>
      </c>
      <c r="R396" s="101">
        <v>0</v>
      </c>
      <c r="S396" s="101">
        <v>0</v>
      </c>
      <c r="T396" s="98">
        <v>0</v>
      </c>
      <c r="U396" s="98">
        <v>0</v>
      </c>
      <c r="V396" s="98">
        <v>0</v>
      </c>
      <c r="W396" s="98">
        <v>0</v>
      </c>
      <c r="X396" s="98">
        <v>0</v>
      </c>
      <c r="Y396" s="98">
        <v>250000</v>
      </c>
      <c r="Z396" s="98">
        <f t="shared" si="125"/>
        <v>298869.36</v>
      </c>
      <c r="AA396" s="98">
        <v>0</v>
      </c>
      <c r="AB396" s="102">
        <v>2028</v>
      </c>
      <c r="AC396" s="102">
        <v>2028</v>
      </c>
      <c r="AD396" s="102">
        <v>2028</v>
      </c>
    </row>
    <row r="397" spans="1:30" x14ac:dyDescent="0.3">
      <c r="A397">
        <v>1</v>
      </c>
      <c r="B397" s="68">
        <f>SUBTOTAL(9,$A$341:A397)</f>
        <v>54</v>
      </c>
      <c r="C397" s="73" t="s">
        <v>396</v>
      </c>
      <c r="D397" s="79" t="s">
        <v>473</v>
      </c>
      <c r="E397" s="65">
        <f t="shared" si="124"/>
        <v>26150690.599999998</v>
      </c>
      <c r="F397" s="77">
        <v>0</v>
      </c>
      <c r="G397" s="77">
        <v>0</v>
      </c>
      <c r="H397" s="77">
        <v>0</v>
      </c>
      <c r="I397" s="77">
        <v>0</v>
      </c>
      <c r="J397" s="77">
        <v>0</v>
      </c>
      <c r="K397" s="77">
        <v>0</v>
      </c>
      <c r="L397" s="154">
        <v>0</v>
      </c>
      <c r="M397" s="76">
        <v>0</v>
      </c>
      <c r="N397" s="71">
        <v>2060</v>
      </c>
      <c r="O397" s="72">
        <v>25517921.77</v>
      </c>
      <c r="P397" s="72">
        <v>0</v>
      </c>
      <c r="Q397" s="89">
        <v>0</v>
      </c>
      <c r="R397" s="72">
        <v>0</v>
      </c>
      <c r="S397" s="89">
        <v>0</v>
      </c>
      <c r="T397" s="77">
        <v>0</v>
      </c>
      <c r="U397" s="77">
        <v>0</v>
      </c>
      <c r="V397" s="77">
        <v>0</v>
      </c>
      <c r="W397" s="77">
        <v>0</v>
      </c>
      <c r="X397" s="77">
        <v>0</v>
      </c>
      <c r="Y397" s="77">
        <v>250000</v>
      </c>
      <c r="Z397" s="77">
        <f t="shared" si="125"/>
        <v>382768.83</v>
      </c>
      <c r="AA397" s="77">
        <v>0</v>
      </c>
      <c r="AB397" s="70">
        <v>2028</v>
      </c>
      <c r="AC397" s="70">
        <v>2028</v>
      </c>
      <c r="AD397" s="70">
        <v>2028</v>
      </c>
    </row>
    <row r="398" spans="1:30" x14ac:dyDescent="0.3">
      <c r="A398">
        <v>1</v>
      </c>
      <c r="B398" s="68">
        <f>SUBTOTAL(9,$A$341:A398)</f>
        <v>55</v>
      </c>
      <c r="C398" s="73" t="s">
        <v>388</v>
      </c>
      <c r="D398" s="79" t="s">
        <v>473</v>
      </c>
      <c r="E398" s="65">
        <f t="shared" si="124"/>
        <v>14322029.199999999</v>
      </c>
      <c r="F398" s="77">
        <v>0</v>
      </c>
      <c r="G398" s="77">
        <v>0</v>
      </c>
      <c r="H398" s="77">
        <v>0</v>
      </c>
      <c r="I398" s="77">
        <v>0</v>
      </c>
      <c r="J398" s="77">
        <v>0</v>
      </c>
      <c r="K398" s="77">
        <v>0</v>
      </c>
      <c r="L398" s="154">
        <v>0</v>
      </c>
      <c r="M398" s="76">
        <v>0</v>
      </c>
      <c r="N398" s="71">
        <v>1148</v>
      </c>
      <c r="O398" s="72">
        <f>14159634.68-246305.42</f>
        <v>13913329.26</v>
      </c>
      <c r="P398" s="72">
        <v>0</v>
      </c>
      <c r="Q398" s="89">
        <v>0</v>
      </c>
      <c r="R398" s="72">
        <v>0</v>
      </c>
      <c r="S398" s="89">
        <v>0</v>
      </c>
      <c r="T398" s="77">
        <v>0</v>
      </c>
      <c r="U398" s="77">
        <v>0</v>
      </c>
      <c r="V398" s="77">
        <v>0</v>
      </c>
      <c r="W398" s="77">
        <v>0</v>
      </c>
      <c r="X398" s="77">
        <v>0</v>
      </c>
      <c r="Y398" s="77">
        <v>200000</v>
      </c>
      <c r="Z398" s="77">
        <f t="shared" si="125"/>
        <v>208699.94</v>
      </c>
      <c r="AA398" s="77">
        <v>0</v>
      </c>
      <c r="AB398" s="70">
        <v>2028</v>
      </c>
      <c r="AC398" s="70">
        <v>2028</v>
      </c>
      <c r="AD398" s="70">
        <v>2028</v>
      </c>
    </row>
    <row r="399" spans="1:30" x14ac:dyDescent="0.3">
      <c r="A399">
        <v>1</v>
      </c>
      <c r="B399" s="68">
        <f>SUBTOTAL(9,$A$341:A399)</f>
        <v>56</v>
      </c>
      <c r="C399" s="73" t="s">
        <v>629</v>
      </c>
      <c r="D399" s="79" t="s">
        <v>473</v>
      </c>
      <c r="E399" s="65">
        <f t="shared" si="124"/>
        <v>250000</v>
      </c>
      <c r="F399" s="77">
        <v>0</v>
      </c>
      <c r="G399" s="77">
        <v>0</v>
      </c>
      <c r="H399" s="77">
        <v>0</v>
      </c>
      <c r="I399" s="77">
        <v>0</v>
      </c>
      <c r="J399" s="77">
        <v>0</v>
      </c>
      <c r="K399" s="77">
        <v>0</v>
      </c>
      <c r="L399" s="154">
        <v>0</v>
      </c>
      <c r="M399" s="76">
        <v>0</v>
      </c>
      <c r="N399" s="71">
        <v>0</v>
      </c>
      <c r="O399" s="72">
        <v>0</v>
      </c>
      <c r="P399" s="72">
        <v>0</v>
      </c>
      <c r="Q399" s="89">
        <v>0</v>
      </c>
      <c r="R399" s="72">
        <v>0</v>
      </c>
      <c r="S399" s="89">
        <v>0</v>
      </c>
      <c r="T399" s="77">
        <v>0</v>
      </c>
      <c r="U399" s="77">
        <v>0</v>
      </c>
      <c r="V399" s="77">
        <v>0</v>
      </c>
      <c r="W399" s="77">
        <v>0</v>
      </c>
      <c r="X399" s="77">
        <v>0</v>
      </c>
      <c r="Y399" s="77">
        <v>250000</v>
      </c>
      <c r="Z399" s="77">
        <f t="shared" si="125"/>
        <v>0</v>
      </c>
      <c r="AA399" s="77">
        <v>0</v>
      </c>
      <c r="AB399" s="70">
        <v>2028</v>
      </c>
      <c r="AC399" s="70" t="s">
        <v>426</v>
      </c>
      <c r="AD399" s="70" t="s">
        <v>426</v>
      </c>
    </row>
    <row r="400" spans="1:30" x14ac:dyDescent="0.3">
      <c r="B400" s="67" t="s">
        <v>678</v>
      </c>
      <c r="C400" s="67"/>
      <c r="D400" s="87"/>
      <c r="E400" s="72">
        <f>SUM(E401:E413)</f>
        <v>157618575.54000002</v>
      </c>
      <c r="F400" s="72">
        <f t="shared" ref="F400:AA400" si="126">SUM(F401:F413)</f>
        <v>0</v>
      </c>
      <c r="G400" s="72">
        <f t="shared" si="126"/>
        <v>0</v>
      </c>
      <c r="H400" s="72">
        <f t="shared" si="126"/>
        <v>0</v>
      </c>
      <c r="I400" s="72">
        <f t="shared" si="126"/>
        <v>0</v>
      </c>
      <c r="J400" s="72">
        <f t="shared" si="126"/>
        <v>0</v>
      </c>
      <c r="K400" s="72">
        <f t="shared" si="126"/>
        <v>0</v>
      </c>
      <c r="L400" s="156">
        <f t="shared" si="126"/>
        <v>2</v>
      </c>
      <c r="M400" s="72">
        <f t="shared" si="126"/>
        <v>7957204.9299999997</v>
      </c>
      <c r="N400" s="72">
        <f t="shared" si="126"/>
        <v>11164.439999999999</v>
      </c>
      <c r="O400" s="72">
        <f t="shared" si="126"/>
        <v>143933017.28</v>
      </c>
      <c r="P400" s="72">
        <f t="shared" si="126"/>
        <v>0</v>
      </c>
      <c r="Q400" s="72">
        <f t="shared" si="126"/>
        <v>0</v>
      </c>
      <c r="R400" s="72">
        <f t="shared" si="126"/>
        <v>0</v>
      </c>
      <c r="S400" s="72">
        <f t="shared" si="126"/>
        <v>0</v>
      </c>
      <c r="T400" s="72">
        <f t="shared" si="126"/>
        <v>0</v>
      </c>
      <c r="U400" s="72">
        <f t="shared" si="126"/>
        <v>0</v>
      </c>
      <c r="V400" s="72">
        <f t="shared" si="126"/>
        <v>0</v>
      </c>
      <c r="W400" s="72">
        <f t="shared" si="126"/>
        <v>0</v>
      </c>
      <c r="X400" s="72">
        <f t="shared" si="126"/>
        <v>0</v>
      </c>
      <c r="Y400" s="72">
        <f t="shared" si="126"/>
        <v>3450000</v>
      </c>
      <c r="Z400" s="72">
        <f t="shared" si="126"/>
        <v>2278353.3300000005</v>
      </c>
      <c r="AA400" s="72">
        <f t="shared" si="126"/>
        <v>0</v>
      </c>
      <c r="AB400" s="66" t="s">
        <v>423</v>
      </c>
      <c r="AC400" s="66" t="s">
        <v>423</v>
      </c>
      <c r="AD400" s="66" t="s">
        <v>423</v>
      </c>
    </row>
    <row r="401" spans="1:30" x14ac:dyDescent="0.3">
      <c r="A401">
        <v>1</v>
      </c>
      <c r="B401" s="68">
        <f>SUBTOTAL(9,$A$341:A401)</f>
        <v>57</v>
      </c>
      <c r="C401" s="73" t="s">
        <v>344</v>
      </c>
      <c r="D401" s="79" t="s">
        <v>610</v>
      </c>
      <c r="E401" s="65">
        <f t="shared" ref="E401:E413" si="127">F401+G401+H401+I401+J401+K401+M401+O401+Q401+S401+U401+V401+W401+X401+Z401+AA401+Y401</f>
        <v>9480145.5600000005</v>
      </c>
      <c r="F401" s="77">
        <v>0</v>
      </c>
      <c r="G401" s="77">
        <v>0</v>
      </c>
      <c r="H401" s="77">
        <v>0</v>
      </c>
      <c r="I401" s="77">
        <v>0</v>
      </c>
      <c r="J401" s="77">
        <v>0</v>
      </c>
      <c r="K401" s="77">
        <v>0</v>
      </c>
      <c r="L401" s="154">
        <v>0</v>
      </c>
      <c r="M401" s="77">
        <v>0</v>
      </c>
      <c r="N401" s="77">
        <v>733</v>
      </c>
      <c r="O401" s="77">
        <v>9093739.4700000007</v>
      </c>
      <c r="P401" s="77">
        <v>0</v>
      </c>
      <c r="Q401" s="77">
        <v>0</v>
      </c>
      <c r="R401" s="77">
        <v>0</v>
      </c>
      <c r="S401" s="77">
        <v>0</v>
      </c>
      <c r="T401" s="77">
        <v>0</v>
      </c>
      <c r="U401" s="77">
        <v>0</v>
      </c>
      <c r="V401" s="77">
        <v>0</v>
      </c>
      <c r="W401" s="77">
        <v>0</v>
      </c>
      <c r="X401" s="77">
        <v>0</v>
      </c>
      <c r="Y401" s="77">
        <v>250000</v>
      </c>
      <c r="Z401" s="77">
        <f>ROUND(O401*1.5%,2)</f>
        <v>136406.09</v>
      </c>
      <c r="AA401" s="77">
        <v>0</v>
      </c>
      <c r="AB401" s="70">
        <v>2028</v>
      </c>
      <c r="AC401" s="70">
        <v>2028</v>
      </c>
      <c r="AD401" s="70">
        <v>2028</v>
      </c>
    </row>
    <row r="402" spans="1:30" x14ac:dyDescent="0.3">
      <c r="A402">
        <v>1</v>
      </c>
      <c r="B402" s="68">
        <f>SUBTOTAL(9,$A$341:A402)</f>
        <v>58</v>
      </c>
      <c r="C402" s="73" t="s">
        <v>334</v>
      </c>
      <c r="D402" s="79" t="s">
        <v>610</v>
      </c>
      <c r="E402" s="65">
        <f t="shared" si="127"/>
        <v>22696735.919999998</v>
      </c>
      <c r="F402" s="77">
        <v>0</v>
      </c>
      <c r="G402" s="77">
        <v>0</v>
      </c>
      <c r="H402" s="77">
        <v>0</v>
      </c>
      <c r="I402" s="77">
        <v>0</v>
      </c>
      <c r="J402" s="77">
        <v>0</v>
      </c>
      <c r="K402" s="77">
        <v>0</v>
      </c>
      <c r="L402" s="154">
        <v>0</v>
      </c>
      <c r="M402" s="77">
        <v>0</v>
      </c>
      <c r="N402" s="77">
        <v>1754.9</v>
      </c>
      <c r="O402" s="77">
        <v>22016488.59</v>
      </c>
      <c r="P402" s="77">
        <v>0</v>
      </c>
      <c r="Q402" s="77">
        <v>0</v>
      </c>
      <c r="R402" s="77">
        <v>0</v>
      </c>
      <c r="S402" s="77">
        <v>0</v>
      </c>
      <c r="T402" s="77">
        <v>0</v>
      </c>
      <c r="U402" s="77">
        <v>0</v>
      </c>
      <c r="V402" s="77">
        <v>0</v>
      </c>
      <c r="W402" s="77">
        <v>0</v>
      </c>
      <c r="X402" s="77">
        <v>0</v>
      </c>
      <c r="Y402" s="77">
        <v>350000</v>
      </c>
      <c r="Z402" s="77">
        <f>ROUND(O402*1.5%,2)</f>
        <v>330247.33</v>
      </c>
      <c r="AA402" s="77">
        <v>0</v>
      </c>
      <c r="AB402" s="70">
        <v>2028</v>
      </c>
      <c r="AC402" s="70">
        <v>2028</v>
      </c>
      <c r="AD402" s="70">
        <v>2028</v>
      </c>
    </row>
    <row r="403" spans="1:30" x14ac:dyDescent="0.3">
      <c r="A403">
        <v>1</v>
      </c>
      <c r="B403" s="68">
        <f>SUBTOTAL(9,$A$341:A403)</f>
        <v>59</v>
      </c>
      <c r="C403" s="73" t="s">
        <v>339</v>
      </c>
      <c r="D403" s="79" t="s">
        <v>610</v>
      </c>
      <c r="E403" s="65">
        <f t="shared" si="127"/>
        <v>12105615.6</v>
      </c>
      <c r="F403" s="77">
        <v>0</v>
      </c>
      <c r="G403" s="77">
        <v>0</v>
      </c>
      <c r="H403" s="77">
        <v>0</v>
      </c>
      <c r="I403" s="77">
        <v>0</v>
      </c>
      <c r="J403" s="77">
        <v>0</v>
      </c>
      <c r="K403" s="77">
        <v>0</v>
      </c>
      <c r="L403" s="154">
        <v>0</v>
      </c>
      <c r="M403" s="77">
        <v>0</v>
      </c>
      <c r="N403" s="65">
        <v>936</v>
      </c>
      <c r="O403" s="77">
        <v>11631148.369999999</v>
      </c>
      <c r="P403" s="77">
        <v>0</v>
      </c>
      <c r="Q403" s="77">
        <v>0</v>
      </c>
      <c r="R403" s="77">
        <v>0</v>
      </c>
      <c r="S403" s="77">
        <v>0</v>
      </c>
      <c r="T403" s="77">
        <v>0</v>
      </c>
      <c r="U403" s="77">
        <v>0</v>
      </c>
      <c r="V403" s="77">
        <v>0</v>
      </c>
      <c r="W403" s="77">
        <v>0</v>
      </c>
      <c r="X403" s="77">
        <v>0</v>
      </c>
      <c r="Y403" s="77">
        <v>300000</v>
      </c>
      <c r="Z403" s="77">
        <f>ROUND(O403*1.5%,2)</f>
        <v>174467.23</v>
      </c>
      <c r="AA403" s="77">
        <v>0</v>
      </c>
      <c r="AB403" s="70">
        <v>2028</v>
      </c>
      <c r="AC403" s="70">
        <v>2028</v>
      </c>
      <c r="AD403" s="70">
        <v>2028</v>
      </c>
    </row>
    <row r="404" spans="1:30" x14ac:dyDescent="0.3">
      <c r="A404">
        <v>1</v>
      </c>
      <c r="B404" s="68">
        <f>SUBTOTAL(9,$A$341:A404)</f>
        <v>60</v>
      </c>
      <c r="C404" s="73" t="s">
        <v>332</v>
      </c>
      <c r="D404" s="79" t="s">
        <v>610</v>
      </c>
      <c r="E404" s="65">
        <f t="shared" si="127"/>
        <v>9182678.5</v>
      </c>
      <c r="F404" s="77">
        <v>0</v>
      </c>
      <c r="G404" s="77">
        <v>0</v>
      </c>
      <c r="H404" s="77">
        <v>0</v>
      </c>
      <c r="I404" s="77">
        <v>0</v>
      </c>
      <c r="J404" s="77">
        <v>0</v>
      </c>
      <c r="K404" s="77">
        <v>0</v>
      </c>
      <c r="L404" s="154">
        <v>0</v>
      </c>
      <c r="M404" s="77">
        <v>0</v>
      </c>
      <c r="N404" s="77">
        <v>710</v>
      </c>
      <c r="O404" s="77">
        <v>8849929.5600000005</v>
      </c>
      <c r="P404" s="77">
        <v>0</v>
      </c>
      <c r="Q404" s="77">
        <v>0</v>
      </c>
      <c r="R404" s="77">
        <v>0</v>
      </c>
      <c r="S404" s="77">
        <v>0</v>
      </c>
      <c r="T404" s="77">
        <v>0</v>
      </c>
      <c r="U404" s="77">
        <v>0</v>
      </c>
      <c r="V404" s="77">
        <v>0</v>
      </c>
      <c r="W404" s="77">
        <v>0</v>
      </c>
      <c r="X404" s="77">
        <v>0</v>
      </c>
      <c r="Y404" s="77">
        <v>200000</v>
      </c>
      <c r="Z404" s="77">
        <f>ROUND(O404*1.5%,2)</f>
        <v>132748.94</v>
      </c>
      <c r="AA404" s="77">
        <v>0</v>
      </c>
      <c r="AB404" s="70">
        <v>2028</v>
      </c>
      <c r="AC404" s="70">
        <v>2028</v>
      </c>
      <c r="AD404" s="70">
        <v>2028</v>
      </c>
    </row>
    <row r="405" spans="1:30" x14ac:dyDescent="0.3">
      <c r="A405">
        <v>1</v>
      </c>
      <c r="B405" s="68">
        <f>SUBTOTAL(9,$A$341:A405)</f>
        <v>61</v>
      </c>
      <c r="C405" s="73" t="s">
        <v>337</v>
      </c>
      <c r="D405" s="79" t="s">
        <v>610</v>
      </c>
      <c r="E405" s="65">
        <f t="shared" si="127"/>
        <v>15028476</v>
      </c>
      <c r="F405" s="77">
        <v>0</v>
      </c>
      <c r="G405" s="77">
        <v>0</v>
      </c>
      <c r="H405" s="77">
        <v>0</v>
      </c>
      <c r="I405" s="77">
        <v>0</v>
      </c>
      <c r="J405" s="77">
        <v>0</v>
      </c>
      <c r="K405" s="77">
        <v>0</v>
      </c>
      <c r="L405" s="154">
        <v>0</v>
      </c>
      <c r="M405" s="77">
        <v>0</v>
      </c>
      <c r="N405" s="77">
        <v>1275</v>
      </c>
      <c r="O405" s="77">
        <v>14510813.789999999</v>
      </c>
      <c r="P405" s="77">
        <v>0</v>
      </c>
      <c r="Q405" s="77">
        <v>0</v>
      </c>
      <c r="R405" s="77">
        <v>0</v>
      </c>
      <c r="S405" s="77">
        <v>0</v>
      </c>
      <c r="T405" s="77">
        <v>0</v>
      </c>
      <c r="U405" s="77">
        <v>0</v>
      </c>
      <c r="V405" s="77">
        <v>0</v>
      </c>
      <c r="W405" s="77">
        <v>0</v>
      </c>
      <c r="X405" s="77">
        <v>0</v>
      </c>
      <c r="Y405" s="77">
        <v>300000</v>
      </c>
      <c r="Z405" s="77">
        <f>ROUND(O405*1.5%,2)</f>
        <v>217662.21</v>
      </c>
      <c r="AA405" s="77">
        <v>0</v>
      </c>
      <c r="AB405" s="70">
        <v>2028</v>
      </c>
      <c r="AC405" s="70">
        <v>2028</v>
      </c>
      <c r="AD405" s="70">
        <v>2028</v>
      </c>
    </row>
    <row r="406" spans="1:30" x14ac:dyDescent="0.3">
      <c r="A406">
        <v>1</v>
      </c>
      <c r="B406" s="68">
        <f>SUBTOTAL(9,$A$341:A406)</f>
        <v>62</v>
      </c>
      <c r="C406" s="73" t="s">
        <v>677</v>
      </c>
      <c r="D406" s="79"/>
      <c r="E406" s="65">
        <f t="shared" si="127"/>
        <v>8326563</v>
      </c>
      <c r="F406" s="77">
        <v>0</v>
      </c>
      <c r="G406" s="77">
        <v>0</v>
      </c>
      <c r="H406" s="77">
        <v>0</v>
      </c>
      <c r="I406" s="77">
        <v>0</v>
      </c>
      <c r="J406" s="77">
        <v>0</v>
      </c>
      <c r="K406" s="77">
        <v>0</v>
      </c>
      <c r="L406" s="154">
        <v>2</v>
      </c>
      <c r="M406" s="77">
        <v>7957204.9299999997</v>
      </c>
      <c r="N406" s="77">
        <v>0</v>
      </c>
      <c r="O406" s="77">
        <v>0</v>
      </c>
      <c r="P406" s="77">
        <v>0</v>
      </c>
      <c r="Q406" s="77">
        <v>0</v>
      </c>
      <c r="R406" s="77">
        <v>0</v>
      </c>
      <c r="S406" s="77">
        <v>0</v>
      </c>
      <c r="T406" s="77">
        <v>0</v>
      </c>
      <c r="U406" s="77">
        <v>0</v>
      </c>
      <c r="V406" s="77">
        <v>0</v>
      </c>
      <c r="W406" s="77">
        <v>0</v>
      </c>
      <c r="X406" s="77">
        <v>0</v>
      </c>
      <c r="Y406" s="77">
        <v>250000</v>
      </c>
      <c r="Z406" s="77">
        <f>ROUND(M406*1.5%,2)</f>
        <v>119358.07</v>
      </c>
      <c r="AA406" s="77">
        <v>0</v>
      </c>
      <c r="AB406" s="70">
        <v>2028</v>
      </c>
      <c r="AC406" s="70">
        <v>2028</v>
      </c>
      <c r="AD406" s="70">
        <v>2028</v>
      </c>
    </row>
    <row r="407" spans="1:30" x14ac:dyDescent="0.3">
      <c r="A407">
        <v>1</v>
      </c>
      <c r="B407" s="68">
        <f>SUBTOTAL(9,$A$341:A407)</f>
        <v>63</v>
      </c>
      <c r="C407" s="73" t="s">
        <v>356</v>
      </c>
      <c r="D407" s="79" t="s">
        <v>610</v>
      </c>
      <c r="E407" s="65">
        <f t="shared" si="127"/>
        <v>14760776.110000001</v>
      </c>
      <c r="F407" s="77">
        <v>0</v>
      </c>
      <c r="G407" s="77">
        <v>0</v>
      </c>
      <c r="H407" s="77">
        <v>0</v>
      </c>
      <c r="I407" s="77">
        <v>0</v>
      </c>
      <c r="J407" s="77">
        <v>0</v>
      </c>
      <c r="K407" s="77">
        <v>0</v>
      </c>
      <c r="L407" s="154">
        <v>0</v>
      </c>
      <c r="M407" s="77">
        <v>0</v>
      </c>
      <c r="N407" s="77">
        <v>877.8</v>
      </c>
      <c r="O407" s="77">
        <v>14296331.140000001</v>
      </c>
      <c r="P407" s="77">
        <v>0</v>
      </c>
      <c r="Q407" s="77">
        <v>0</v>
      </c>
      <c r="R407" s="77">
        <v>0</v>
      </c>
      <c r="S407" s="77">
        <v>0</v>
      </c>
      <c r="T407" s="77">
        <v>0</v>
      </c>
      <c r="U407" s="77">
        <v>0</v>
      </c>
      <c r="V407" s="77">
        <v>0</v>
      </c>
      <c r="W407" s="77">
        <v>0</v>
      </c>
      <c r="X407" s="77">
        <v>0</v>
      </c>
      <c r="Y407" s="77">
        <v>250000</v>
      </c>
      <c r="Z407" s="77">
        <f t="shared" ref="Z407:Z413" si="128">ROUND(O407*1.5%,2)</f>
        <v>214444.97</v>
      </c>
      <c r="AA407" s="77">
        <v>0</v>
      </c>
      <c r="AB407" s="70">
        <v>2028</v>
      </c>
      <c r="AC407" s="70">
        <v>2028</v>
      </c>
      <c r="AD407" s="70">
        <v>2028</v>
      </c>
    </row>
    <row r="408" spans="1:30" x14ac:dyDescent="0.3">
      <c r="A408">
        <v>1</v>
      </c>
      <c r="B408" s="68">
        <f>SUBTOTAL(9,$A$341:A408)</f>
        <v>64</v>
      </c>
      <c r="C408" s="73" t="s">
        <v>355</v>
      </c>
      <c r="D408" s="79" t="s">
        <v>610</v>
      </c>
      <c r="E408" s="65">
        <f t="shared" si="127"/>
        <v>16360997.43</v>
      </c>
      <c r="F408" s="77">
        <v>0</v>
      </c>
      <c r="G408" s="77">
        <v>0</v>
      </c>
      <c r="H408" s="77">
        <v>0</v>
      </c>
      <c r="I408" s="77">
        <v>0</v>
      </c>
      <c r="J408" s="77">
        <v>0</v>
      </c>
      <c r="K408" s="77">
        <v>0</v>
      </c>
      <c r="L408" s="154">
        <v>0</v>
      </c>
      <c r="M408" s="77">
        <v>0</v>
      </c>
      <c r="N408" s="77">
        <v>980.44</v>
      </c>
      <c r="O408" s="77">
        <v>15823642.789999999</v>
      </c>
      <c r="P408" s="77">
        <v>0</v>
      </c>
      <c r="Q408" s="77">
        <v>0</v>
      </c>
      <c r="R408" s="77">
        <v>0</v>
      </c>
      <c r="S408" s="77">
        <v>0</v>
      </c>
      <c r="T408" s="77">
        <v>0</v>
      </c>
      <c r="U408" s="77">
        <v>0</v>
      </c>
      <c r="V408" s="77">
        <v>0</v>
      </c>
      <c r="W408" s="77">
        <v>0</v>
      </c>
      <c r="X408" s="77">
        <v>0</v>
      </c>
      <c r="Y408" s="77">
        <v>300000</v>
      </c>
      <c r="Z408" s="77">
        <f t="shared" si="128"/>
        <v>237354.64</v>
      </c>
      <c r="AA408" s="77">
        <v>0</v>
      </c>
      <c r="AB408" s="70">
        <v>2028</v>
      </c>
      <c r="AC408" s="70">
        <v>2028</v>
      </c>
      <c r="AD408" s="70">
        <v>2028</v>
      </c>
    </row>
    <row r="409" spans="1:30" x14ac:dyDescent="0.3">
      <c r="A409">
        <v>1</v>
      </c>
      <c r="B409" s="68">
        <f>SUBTOTAL(9,$A$341:A409)</f>
        <v>65</v>
      </c>
      <c r="C409" s="73" t="s">
        <v>350</v>
      </c>
      <c r="D409" s="79" t="s">
        <v>610</v>
      </c>
      <c r="E409" s="65">
        <f t="shared" si="127"/>
        <v>18432428.520000003</v>
      </c>
      <c r="F409" s="77">
        <v>0</v>
      </c>
      <c r="G409" s="77">
        <v>0</v>
      </c>
      <c r="H409" s="77">
        <v>0</v>
      </c>
      <c r="I409" s="77">
        <v>0</v>
      </c>
      <c r="J409" s="77">
        <v>0</v>
      </c>
      <c r="K409" s="77">
        <v>0</v>
      </c>
      <c r="L409" s="154">
        <v>0</v>
      </c>
      <c r="M409" s="77">
        <v>0</v>
      </c>
      <c r="N409" s="77">
        <v>1452</v>
      </c>
      <c r="O409" s="77">
        <v>17864461.600000001</v>
      </c>
      <c r="P409" s="77">
        <v>0</v>
      </c>
      <c r="Q409" s="77">
        <v>0</v>
      </c>
      <c r="R409" s="77">
        <v>0</v>
      </c>
      <c r="S409" s="77">
        <v>0</v>
      </c>
      <c r="T409" s="77">
        <v>0</v>
      </c>
      <c r="U409" s="77">
        <v>0</v>
      </c>
      <c r="V409" s="77">
        <v>0</v>
      </c>
      <c r="W409" s="77">
        <v>0</v>
      </c>
      <c r="X409" s="77">
        <v>0</v>
      </c>
      <c r="Y409" s="77">
        <v>300000</v>
      </c>
      <c r="Z409" s="77">
        <f t="shared" si="128"/>
        <v>267966.92</v>
      </c>
      <c r="AA409" s="77">
        <v>0</v>
      </c>
      <c r="AB409" s="70">
        <v>2028</v>
      </c>
      <c r="AC409" s="70">
        <v>2028</v>
      </c>
      <c r="AD409" s="70">
        <v>2028</v>
      </c>
    </row>
    <row r="410" spans="1:30" x14ac:dyDescent="0.3">
      <c r="A410">
        <v>1</v>
      </c>
      <c r="B410" s="68">
        <f>SUBTOTAL(9,$A$341:A410)</f>
        <v>66</v>
      </c>
      <c r="C410" s="73" t="s">
        <v>360</v>
      </c>
      <c r="D410" s="79" t="s">
        <v>610</v>
      </c>
      <c r="E410" s="65">
        <f t="shared" si="127"/>
        <v>8417729.5800000001</v>
      </c>
      <c r="F410" s="77">
        <v>0</v>
      </c>
      <c r="G410" s="77">
        <v>0</v>
      </c>
      <c r="H410" s="77">
        <v>0</v>
      </c>
      <c r="I410" s="77">
        <v>0</v>
      </c>
      <c r="J410" s="77">
        <v>0</v>
      </c>
      <c r="K410" s="77">
        <v>0</v>
      </c>
      <c r="L410" s="154">
        <v>0</v>
      </c>
      <c r="M410" s="77">
        <v>0</v>
      </c>
      <c r="N410" s="77">
        <v>663.1</v>
      </c>
      <c r="O410" s="77">
        <v>8047024.2199999997</v>
      </c>
      <c r="P410" s="77">
        <v>0</v>
      </c>
      <c r="Q410" s="77">
        <v>0</v>
      </c>
      <c r="R410" s="77">
        <v>0</v>
      </c>
      <c r="S410" s="77">
        <v>0</v>
      </c>
      <c r="T410" s="77">
        <v>0</v>
      </c>
      <c r="U410" s="77">
        <v>0</v>
      </c>
      <c r="V410" s="77">
        <v>0</v>
      </c>
      <c r="W410" s="77">
        <v>0</v>
      </c>
      <c r="X410" s="77">
        <v>0</v>
      </c>
      <c r="Y410" s="77">
        <v>250000</v>
      </c>
      <c r="Z410" s="77">
        <f t="shared" si="128"/>
        <v>120705.36</v>
      </c>
      <c r="AA410" s="77">
        <v>0</v>
      </c>
      <c r="AB410" s="70">
        <v>2028</v>
      </c>
      <c r="AC410" s="70">
        <v>2028</v>
      </c>
      <c r="AD410" s="70">
        <v>2028</v>
      </c>
    </row>
    <row r="411" spans="1:30" x14ac:dyDescent="0.3">
      <c r="A411">
        <v>1</v>
      </c>
      <c r="B411" s="68">
        <f>SUBTOTAL(9,$A$341:A411)</f>
        <v>67</v>
      </c>
      <c r="C411" s="73" t="s">
        <v>718</v>
      </c>
      <c r="D411" s="79" t="s">
        <v>610</v>
      </c>
      <c r="E411" s="65">
        <f t="shared" si="127"/>
        <v>10953254.119999999</v>
      </c>
      <c r="F411" s="77">
        <v>0</v>
      </c>
      <c r="G411" s="77">
        <v>0</v>
      </c>
      <c r="H411" s="77">
        <v>0</v>
      </c>
      <c r="I411" s="77">
        <v>0</v>
      </c>
      <c r="J411" s="77">
        <v>0</v>
      </c>
      <c r="K411" s="77">
        <v>0</v>
      </c>
      <c r="L411" s="154">
        <v>0</v>
      </c>
      <c r="M411" s="77">
        <v>0</v>
      </c>
      <c r="N411" s="77">
        <v>846.9</v>
      </c>
      <c r="O411" s="77">
        <v>10545077.949999999</v>
      </c>
      <c r="P411" s="77">
        <v>0</v>
      </c>
      <c r="Q411" s="77">
        <v>0</v>
      </c>
      <c r="R411" s="77">
        <v>0</v>
      </c>
      <c r="S411" s="77">
        <v>0</v>
      </c>
      <c r="T411" s="77">
        <v>0</v>
      </c>
      <c r="U411" s="77">
        <v>0</v>
      </c>
      <c r="V411" s="77">
        <v>0</v>
      </c>
      <c r="W411" s="77">
        <v>0</v>
      </c>
      <c r="X411" s="77">
        <v>0</v>
      </c>
      <c r="Y411" s="77">
        <v>250000</v>
      </c>
      <c r="Z411" s="77">
        <f t="shared" si="128"/>
        <v>158176.17000000001</v>
      </c>
      <c r="AA411" s="77">
        <v>0</v>
      </c>
      <c r="AB411" s="70">
        <v>2028</v>
      </c>
      <c r="AC411" s="70">
        <v>2028</v>
      </c>
      <c r="AD411" s="70">
        <v>2028</v>
      </c>
    </row>
    <row r="412" spans="1:30" x14ac:dyDescent="0.3">
      <c r="A412">
        <v>1</v>
      </c>
      <c r="B412" s="68">
        <f>SUBTOTAL(9,$A$341:A412)</f>
        <v>68</v>
      </c>
      <c r="C412" s="73" t="s">
        <v>359</v>
      </c>
      <c r="D412" s="79" t="s">
        <v>610</v>
      </c>
      <c r="E412" s="65">
        <f t="shared" si="127"/>
        <v>4637304.5</v>
      </c>
      <c r="F412" s="77">
        <v>0</v>
      </c>
      <c r="G412" s="77">
        <v>0</v>
      </c>
      <c r="H412" s="77">
        <v>0</v>
      </c>
      <c r="I412" s="77">
        <v>0</v>
      </c>
      <c r="J412" s="77">
        <v>0</v>
      </c>
      <c r="K412" s="77">
        <v>0</v>
      </c>
      <c r="L412" s="154">
        <v>0</v>
      </c>
      <c r="M412" s="77">
        <v>0</v>
      </c>
      <c r="N412" s="77">
        <v>365.3</v>
      </c>
      <c r="O412" s="77">
        <v>4371728.57</v>
      </c>
      <c r="P412" s="77">
        <v>0</v>
      </c>
      <c r="Q412" s="77">
        <v>0</v>
      </c>
      <c r="R412" s="77">
        <v>0</v>
      </c>
      <c r="S412" s="77">
        <v>0</v>
      </c>
      <c r="T412" s="77">
        <v>0</v>
      </c>
      <c r="U412" s="77">
        <v>0</v>
      </c>
      <c r="V412" s="77">
        <v>0</v>
      </c>
      <c r="W412" s="77">
        <v>0</v>
      </c>
      <c r="X412" s="77">
        <v>0</v>
      </c>
      <c r="Y412" s="77">
        <v>200000</v>
      </c>
      <c r="Z412" s="77">
        <f t="shared" si="128"/>
        <v>65575.929999999993</v>
      </c>
      <c r="AA412" s="77">
        <v>0</v>
      </c>
      <c r="AB412" s="70">
        <v>2028</v>
      </c>
      <c r="AC412" s="70">
        <v>2028</v>
      </c>
      <c r="AD412" s="70">
        <v>2028</v>
      </c>
    </row>
    <row r="413" spans="1:30" x14ac:dyDescent="0.3">
      <c r="A413">
        <v>1</v>
      </c>
      <c r="B413" s="68">
        <f>SUBTOTAL(9,$A$341:A413)</f>
        <v>69</v>
      </c>
      <c r="C413" s="73" t="s">
        <v>358</v>
      </c>
      <c r="D413" s="79" t="s">
        <v>610</v>
      </c>
      <c r="E413" s="65">
        <f t="shared" si="127"/>
        <v>7235870.7000000002</v>
      </c>
      <c r="F413" s="77">
        <v>0</v>
      </c>
      <c r="G413" s="77">
        <v>0</v>
      </c>
      <c r="H413" s="77">
        <v>0</v>
      </c>
      <c r="I413" s="77">
        <v>0</v>
      </c>
      <c r="J413" s="77">
        <v>0</v>
      </c>
      <c r="K413" s="77">
        <v>0</v>
      </c>
      <c r="L413" s="154">
        <v>0</v>
      </c>
      <c r="M413" s="77">
        <v>0</v>
      </c>
      <c r="N413" s="77">
        <v>570</v>
      </c>
      <c r="O413" s="77">
        <v>6882631.2300000004</v>
      </c>
      <c r="P413" s="77">
        <v>0</v>
      </c>
      <c r="Q413" s="77">
        <v>0</v>
      </c>
      <c r="R413" s="77">
        <v>0</v>
      </c>
      <c r="S413" s="77">
        <v>0</v>
      </c>
      <c r="T413" s="77">
        <v>0</v>
      </c>
      <c r="U413" s="77">
        <v>0</v>
      </c>
      <c r="V413" s="77">
        <v>0</v>
      </c>
      <c r="W413" s="77">
        <v>0</v>
      </c>
      <c r="X413" s="77">
        <v>0</v>
      </c>
      <c r="Y413" s="77">
        <v>250000</v>
      </c>
      <c r="Z413" s="77">
        <f t="shared" si="128"/>
        <v>103239.47</v>
      </c>
      <c r="AA413" s="77">
        <v>0</v>
      </c>
      <c r="AB413" s="70">
        <v>2028</v>
      </c>
      <c r="AC413" s="70">
        <v>2028</v>
      </c>
      <c r="AD413" s="70">
        <v>2028</v>
      </c>
    </row>
    <row r="414" spans="1:30" x14ac:dyDescent="0.3">
      <c r="B414" s="67" t="s">
        <v>503</v>
      </c>
      <c r="C414" s="67"/>
      <c r="D414" s="87"/>
      <c r="E414" s="72">
        <f>E415+E416+E417</f>
        <v>57437679.219999999</v>
      </c>
      <c r="F414" s="72">
        <f t="shared" ref="F414:AA414" si="129">F415+F416+F417</f>
        <v>0</v>
      </c>
      <c r="G414" s="72">
        <f t="shared" si="129"/>
        <v>0</v>
      </c>
      <c r="H414" s="72">
        <f t="shared" si="129"/>
        <v>0</v>
      </c>
      <c r="I414" s="72">
        <f t="shared" si="129"/>
        <v>0</v>
      </c>
      <c r="J414" s="72">
        <f t="shared" si="129"/>
        <v>0</v>
      </c>
      <c r="K414" s="72">
        <f t="shared" si="129"/>
        <v>0</v>
      </c>
      <c r="L414" s="156">
        <f t="shared" si="129"/>
        <v>0</v>
      </c>
      <c r="M414" s="72">
        <f t="shared" si="129"/>
        <v>0</v>
      </c>
      <c r="N414" s="72">
        <f t="shared" si="129"/>
        <v>4830</v>
      </c>
      <c r="O414" s="72">
        <f t="shared" si="129"/>
        <v>55702147.010000005</v>
      </c>
      <c r="P414" s="72">
        <f t="shared" si="129"/>
        <v>0</v>
      </c>
      <c r="Q414" s="72">
        <f t="shared" si="129"/>
        <v>0</v>
      </c>
      <c r="R414" s="72">
        <f t="shared" si="129"/>
        <v>0</v>
      </c>
      <c r="S414" s="72">
        <f t="shared" si="129"/>
        <v>0</v>
      </c>
      <c r="T414" s="72">
        <f t="shared" si="129"/>
        <v>0</v>
      </c>
      <c r="U414" s="72">
        <f t="shared" si="129"/>
        <v>0</v>
      </c>
      <c r="V414" s="72">
        <f t="shared" si="129"/>
        <v>0</v>
      </c>
      <c r="W414" s="72">
        <f t="shared" si="129"/>
        <v>0</v>
      </c>
      <c r="X414" s="72">
        <f t="shared" si="129"/>
        <v>0</v>
      </c>
      <c r="Y414" s="72">
        <f t="shared" si="129"/>
        <v>900000</v>
      </c>
      <c r="Z414" s="72">
        <f t="shared" si="129"/>
        <v>835532.21</v>
      </c>
      <c r="AA414" s="72">
        <f t="shared" si="129"/>
        <v>0</v>
      </c>
      <c r="AB414" s="66" t="s">
        <v>423</v>
      </c>
      <c r="AC414" s="66" t="s">
        <v>423</v>
      </c>
      <c r="AD414" s="66" t="s">
        <v>423</v>
      </c>
    </row>
    <row r="415" spans="1:30" x14ac:dyDescent="0.3">
      <c r="A415">
        <v>1</v>
      </c>
      <c r="B415" s="68">
        <f>SUBTOTAL(9,$A$341:A415)</f>
        <v>70</v>
      </c>
      <c r="C415" s="73" t="s">
        <v>366</v>
      </c>
      <c r="D415" s="79" t="s">
        <v>611</v>
      </c>
      <c r="E415" s="65">
        <f t="shared" ref="E415:E421" si="130">F415+G415+H415+I415+J415+K415+M415+O415+Q415+S415+U415+V415+W415+X415+Z415+AA415+Y415</f>
        <v>38015148.920000002</v>
      </c>
      <c r="F415" s="77">
        <v>0</v>
      </c>
      <c r="G415" s="77">
        <v>0</v>
      </c>
      <c r="H415" s="77">
        <v>0</v>
      </c>
      <c r="I415" s="77">
        <v>0</v>
      </c>
      <c r="J415" s="77">
        <v>0</v>
      </c>
      <c r="K415" s="77">
        <v>0</v>
      </c>
      <c r="L415" s="155">
        <v>0</v>
      </c>
      <c r="M415" s="77">
        <v>0</v>
      </c>
      <c r="N415" s="77">
        <v>3300</v>
      </c>
      <c r="O415" s="77">
        <v>37059260.020000003</v>
      </c>
      <c r="P415" s="77">
        <v>0</v>
      </c>
      <c r="Q415" s="77">
        <v>0</v>
      </c>
      <c r="R415" s="77">
        <v>0</v>
      </c>
      <c r="S415" s="77">
        <v>0</v>
      </c>
      <c r="T415" s="77">
        <v>0</v>
      </c>
      <c r="U415" s="77">
        <v>0</v>
      </c>
      <c r="V415" s="77">
        <v>0</v>
      </c>
      <c r="W415" s="77">
        <v>0</v>
      </c>
      <c r="X415" s="77">
        <v>0</v>
      </c>
      <c r="Y415" s="77">
        <v>400000</v>
      </c>
      <c r="Z415" s="77">
        <f>ROUND(O415*1.5%,2)</f>
        <v>555888.9</v>
      </c>
      <c r="AA415" s="77">
        <v>0</v>
      </c>
      <c r="AB415" s="70">
        <v>2028</v>
      </c>
      <c r="AC415" s="70">
        <v>2028</v>
      </c>
      <c r="AD415" s="70">
        <v>2028</v>
      </c>
    </row>
    <row r="416" spans="1:30" x14ac:dyDescent="0.3">
      <c r="A416">
        <v>1</v>
      </c>
      <c r="B416" s="68">
        <f>SUBTOTAL(9,$A$341:A416)</f>
        <v>71</v>
      </c>
      <c r="C416" s="73" t="s">
        <v>367</v>
      </c>
      <c r="D416" s="79" t="s">
        <v>611</v>
      </c>
      <c r="E416" s="65">
        <f t="shared" si="130"/>
        <v>9266922.2999999989</v>
      </c>
      <c r="F416" s="77">
        <v>0</v>
      </c>
      <c r="G416" s="77">
        <v>0</v>
      </c>
      <c r="H416" s="77">
        <v>0</v>
      </c>
      <c r="I416" s="77">
        <v>0</v>
      </c>
      <c r="J416" s="77">
        <v>0</v>
      </c>
      <c r="K416" s="77">
        <v>0</v>
      </c>
      <c r="L416" s="155">
        <v>0</v>
      </c>
      <c r="M416" s="77">
        <v>0</v>
      </c>
      <c r="N416" s="77">
        <v>730</v>
      </c>
      <c r="O416" s="77">
        <v>8883667.2899999991</v>
      </c>
      <c r="P416" s="77">
        <v>0</v>
      </c>
      <c r="Q416" s="77">
        <v>0</v>
      </c>
      <c r="R416" s="77">
        <v>0</v>
      </c>
      <c r="S416" s="77">
        <v>0</v>
      </c>
      <c r="T416" s="77">
        <v>0</v>
      </c>
      <c r="U416" s="77">
        <v>0</v>
      </c>
      <c r="V416" s="77">
        <v>0</v>
      </c>
      <c r="W416" s="77">
        <v>0</v>
      </c>
      <c r="X416" s="77">
        <v>0</v>
      </c>
      <c r="Y416" s="77">
        <v>250000</v>
      </c>
      <c r="Z416" s="77">
        <f>ROUND(O416*1.5%,2)</f>
        <v>133255.01</v>
      </c>
      <c r="AA416" s="77">
        <v>0</v>
      </c>
      <c r="AB416" s="70">
        <v>2028</v>
      </c>
      <c r="AC416" s="70">
        <v>2028</v>
      </c>
      <c r="AD416" s="70">
        <v>2028</v>
      </c>
    </row>
    <row r="417" spans="1:30" x14ac:dyDescent="0.3">
      <c r="A417">
        <v>1</v>
      </c>
      <c r="B417" s="68">
        <f>SUBTOTAL(9,$A$341:A417)</f>
        <v>72</v>
      </c>
      <c r="C417" s="73" t="s">
        <v>374</v>
      </c>
      <c r="D417" s="79" t="s">
        <v>611</v>
      </c>
      <c r="E417" s="65">
        <f t="shared" si="130"/>
        <v>10155608</v>
      </c>
      <c r="F417" s="77">
        <v>0</v>
      </c>
      <c r="G417" s="77">
        <v>0</v>
      </c>
      <c r="H417" s="77">
        <v>0</v>
      </c>
      <c r="I417" s="77">
        <v>0</v>
      </c>
      <c r="J417" s="77">
        <v>0</v>
      </c>
      <c r="K417" s="77">
        <v>0</v>
      </c>
      <c r="L417" s="155">
        <v>0</v>
      </c>
      <c r="M417" s="77">
        <v>0</v>
      </c>
      <c r="N417" s="77">
        <v>800</v>
      </c>
      <c r="O417" s="77">
        <v>9759219.6999999993</v>
      </c>
      <c r="P417" s="77">
        <v>0</v>
      </c>
      <c r="Q417" s="77">
        <v>0</v>
      </c>
      <c r="R417" s="77">
        <v>0</v>
      </c>
      <c r="S417" s="77">
        <v>0</v>
      </c>
      <c r="T417" s="77">
        <v>0</v>
      </c>
      <c r="U417" s="77">
        <v>0</v>
      </c>
      <c r="V417" s="77">
        <v>0</v>
      </c>
      <c r="W417" s="77">
        <v>0</v>
      </c>
      <c r="X417" s="77">
        <v>0</v>
      </c>
      <c r="Y417" s="77">
        <v>250000</v>
      </c>
      <c r="Z417" s="77">
        <f>ROUND(O417*1.5%,2)</f>
        <v>146388.29999999999</v>
      </c>
      <c r="AA417" s="77">
        <v>0</v>
      </c>
      <c r="AB417" s="70">
        <v>2028</v>
      </c>
      <c r="AC417" s="70">
        <v>2028</v>
      </c>
      <c r="AD417" s="70">
        <v>2028</v>
      </c>
    </row>
    <row r="418" spans="1:30" x14ac:dyDescent="0.3">
      <c r="B418" s="67" t="s">
        <v>507</v>
      </c>
      <c r="C418" s="67"/>
      <c r="D418" s="87"/>
      <c r="E418" s="72">
        <f>E419</f>
        <v>6652275.6299999999</v>
      </c>
      <c r="F418" s="72">
        <f t="shared" ref="F418:AA418" si="131">F419</f>
        <v>0</v>
      </c>
      <c r="G418" s="72">
        <f t="shared" si="131"/>
        <v>0</v>
      </c>
      <c r="H418" s="72">
        <f t="shared" si="131"/>
        <v>0</v>
      </c>
      <c r="I418" s="72">
        <f t="shared" si="131"/>
        <v>0</v>
      </c>
      <c r="J418" s="72">
        <f t="shared" si="131"/>
        <v>0</v>
      </c>
      <c r="K418" s="72">
        <f t="shared" si="131"/>
        <v>0</v>
      </c>
      <c r="L418" s="156">
        <f t="shared" si="131"/>
        <v>0</v>
      </c>
      <c r="M418" s="72">
        <f t="shared" si="131"/>
        <v>0</v>
      </c>
      <c r="N418" s="72">
        <f t="shared" si="131"/>
        <v>370.5</v>
      </c>
      <c r="O418" s="72">
        <f t="shared" si="131"/>
        <v>6356921.7999999998</v>
      </c>
      <c r="P418" s="72">
        <f t="shared" si="131"/>
        <v>0</v>
      </c>
      <c r="Q418" s="72">
        <f t="shared" si="131"/>
        <v>0</v>
      </c>
      <c r="R418" s="72">
        <f t="shared" si="131"/>
        <v>0</v>
      </c>
      <c r="S418" s="72">
        <f t="shared" si="131"/>
        <v>0</v>
      </c>
      <c r="T418" s="72">
        <f t="shared" si="131"/>
        <v>0</v>
      </c>
      <c r="U418" s="72">
        <f t="shared" si="131"/>
        <v>0</v>
      </c>
      <c r="V418" s="72">
        <f t="shared" si="131"/>
        <v>0</v>
      </c>
      <c r="W418" s="72">
        <f t="shared" si="131"/>
        <v>0</v>
      </c>
      <c r="X418" s="72">
        <f t="shared" si="131"/>
        <v>0</v>
      </c>
      <c r="Y418" s="72">
        <f t="shared" si="131"/>
        <v>200000</v>
      </c>
      <c r="Z418" s="72">
        <f t="shared" si="131"/>
        <v>95353.83</v>
      </c>
      <c r="AA418" s="72">
        <f t="shared" si="131"/>
        <v>0</v>
      </c>
      <c r="AB418" s="66" t="s">
        <v>423</v>
      </c>
      <c r="AC418" s="66" t="s">
        <v>423</v>
      </c>
      <c r="AD418" s="66" t="s">
        <v>423</v>
      </c>
    </row>
    <row r="419" spans="1:30" x14ac:dyDescent="0.3">
      <c r="A419">
        <v>1</v>
      </c>
      <c r="B419" s="68">
        <f>SUBTOTAL(9,$A$341:A419)</f>
        <v>73</v>
      </c>
      <c r="C419" s="73" t="s">
        <v>373</v>
      </c>
      <c r="D419" s="79" t="s">
        <v>611</v>
      </c>
      <c r="E419" s="65">
        <f t="shared" si="130"/>
        <v>6652275.6299999999</v>
      </c>
      <c r="F419" s="77">
        <v>0</v>
      </c>
      <c r="G419" s="77">
        <v>0</v>
      </c>
      <c r="H419" s="77">
        <v>0</v>
      </c>
      <c r="I419" s="77">
        <v>0</v>
      </c>
      <c r="J419" s="77">
        <v>0</v>
      </c>
      <c r="K419" s="77">
        <v>0</v>
      </c>
      <c r="L419" s="155">
        <v>0</v>
      </c>
      <c r="M419" s="77">
        <v>0</v>
      </c>
      <c r="N419" s="77">
        <v>370.5</v>
      </c>
      <c r="O419" s="77">
        <v>6356921.7999999998</v>
      </c>
      <c r="P419" s="77">
        <v>0</v>
      </c>
      <c r="Q419" s="77">
        <v>0</v>
      </c>
      <c r="R419" s="77">
        <v>0</v>
      </c>
      <c r="S419" s="77">
        <v>0</v>
      </c>
      <c r="T419" s="77">
        <v>0</v>
      </c>
      <c r="U419" s="77">
        <v>0</v>
      </c>
      <c r="V419" s="77">
        <v>0</v>
      </c>
      <c r="W419" s="77">
        <v>0</v>
      </c>
      <c r="X419" s="77">
        <v>0</v>
      </c>
      <c r="Y419" s="77">
        <v>200000</v>
      </c>
      <c r="Z419" s="77">
        <f>ROUND(O419*1.5%,2)</f>
        <v>95353.83</v>
      </c>
      <c r="AA419" s="77">
        <v>0</v>
      </c>
      <c r="AB419" s="70">
        <v>2028</v>
      </c>
      <c r="AC419" s="70">
        <v>2028</v>
      </c>
      <c r="AD419" s="70">
        <v>2028</v>
      </c>
    </row>
    <row r="420" spans="1:30" x14ac:dyDescent="0.3">
      <c r="B420" s="67" t="s">
        <v>509</v>
      </c>
      <c r="C420" s="67"/>
      <c r="D420" s="87"/>
      <c r="E420" s="72">
        <f>E421</f>
        <v>11298113.899999999</v>
      </c>
      <c r="F420" s="72">
        <f t="shared" ref="F420:AA420" si="132">F421</f>
        <v>0</v>
      </c>
      <c r="G420" s="72">
        <f t="shared" si="132"/>
        <v>0</v>
      </c>
      <c r="H420" s="72">
        <f t="shared" si="132"/>
        <v>0</v>
      </c>
      <c r="I420" s="72">
        <f t="shared" si="132"/>
        <v>0</v>
      </c>
      <c r="J420" s="72">
        <f t="shared" si="132"/>
        <v>0</v>
      </c>
      <c r="K420" s="72">
        <f t="shared" si="132"/>
        <v>0</v>
      </c>
      <c r="L420" s="156">
        <f t="shared" si="132"/>
        <v>0</v>
      </c>
      <c r="M420" s="72">
        <f t="shared" si="132"/>
        <v>0</v>
      </c>
      <c r="N420" s="72">
        <f t="shared" si="132"/>
        <v>890</v>
      </c>
      <c r="O420" s="72">
        <f t="shared" si="132"/>
        <v>10884841.279999999</v>
      </c>
      <c r="P420" s="72">
        <f t="shared" si="132"/>
        <v>0</v>
      </c>
      <c r="Q420" s="72">
        <f t="shared" si="132"/>
        <v>0</v>
      </c>
      <c r="R420" s="72">
        <f t="shared" si="132"/>
        <v>0</v>
      </c>
      <c r="S420" s="72">
        <f t="shared" si="132"/>
        <v>0</v>
      </c>
      <c r="T420" s="72">
        <f t="shared" si="132"/>
        <v>0</v>
      </c>
      <c r="U420" s="72">
        <f t="shared" si="132"/>
        <v>0</v>
      </c>
      <c r="V420" s="72">
        <f t="shared" si="132"/>
        <v>0</v>
      </c>
      <c r="W420" s="72">
        <f t="shared" si="132"/>
        <v>0</v>
      </c>
      <c r="X420" s="72">
        <f t="shared" si="132"/>
        <v>0</v>
      </c>
      <c r="Y420" s="72">
        <f t="shared" si="132"/>
        <v>250000</v>
      </c>
      <c r="Z420" s="72">
        <f t="shared" si="132"/>
        <v>163272.62</v>
      </c>
      <c r="AA420" s="72">
        <f t="shared" si="132"/>
        <v>0</v>
      </c>
      <c r="AB420" s="66" t="s">
        <v>423</v>
      </c>
      <c r="AC420" s="66" t="s">
        <v>423</v>
      </c>
      <c r="AD420" s="66" t="s">
        <v>423</v>
      </c>
    </row>
    <row r="421" spans="1:30" x14ac:dyDescent="0.3">
      <c r="A421">
        <v>1</v>
      </c>
      <c r="B421" s="68">
        <f>SUBTOTAL(9,$A$341:A421)</f>
        <v>74</v>
      </c>
      <c r="C421" s="73" t="s">
        <v>379</v>
      </c>
      <c r="D421" s="79" t="s">
        <v>611</v>
      </c>
      <c r="E421" s="65">
        <f t="shared" si="130"/>
        <v>11298113.899999999</v>
      </c>
      <c r="F421" s="77">
        <v>0</v>
      </c>
      <c r="G421" s="77">
        <v>0</v>
      </c>
      <c r="H421" s="77">
        <v>0</v>
      </c>
      <c r="I421" s="77">
        <v>0</v>
      </c>
      <c r="J421" s="77">
        <v>0</v>
      </c>
      <c r="K421" s="77">
        <v>0</v>
      </c>
      <c r="L421" s="155">
        <v>0</v>
      </c>
      <c r="M421" s="77">
        <v>0</v>
      </c>
      <c r="N421" s="77">
        <v>890</v>
      </c>
      <c r="O421" s="77">
        <v>10884841.279999999</v>
      </c>
      <c r="P421" s="77">
        <v>0</v>
      </c>
      <c r="Q421" s="77">
        <v>0</v>
      </c>
      <c r="R421" s="77">
        <v>0</v>
      </c>
      <c r="S421" s="77">
        <v>0</v>
      </c>
      <c r="T421" s="77">
        <v>0</v>
      </c>
      <c r="U421" s="77">
        <v>0</v>
      </c>
      <c r="V421" s="77">
        <v>0</v>
      </c>
      <c r="W421" s="77">
        <v>0</v>
      </c>
      <c r="X421" s="77">
        <v>0</v>
      </c>
      <c r="Y421" s="77">
        <v>250000</v>
      </c>
      <c r="Z421" s="77">
        <f>ROUND(O421*1.5%,2)</f>
        <v>163272.62</v>
      </c>
      <c r="AA421" s="77">
        <v>0</v>
      </c>
      <c r="AB421" s="70">
        <v>2028</v>
      </c>
      <c r="AC421" s="70">
        <v>2028</v>
      </c>
      <c r="AD421" s="70">
        <v>2028</v>
      </c>
    </row>
    <row r="422" spans="1:30" x14ac:dyDescent="0.3">
      <c r="B422" s="62" t="s">
        <v>692</v>
      </c>
      <c r="C422" s="63"/>
      <c r="D422" s="64"/>
      <c r="E422" s="65">
        <f>E423+E424</f>
        <v>30289101</v>
      </c>
      <c r="F422" s="65">
        <f t="shared" ref="F422:AA422" si="133">F423+F424</f>
        <v>0</v>
      </c>
      <c r="G422" s="65">
        <f t="shared" si="133"/>
        <v>0</v>
      </c>
      <c r="H422" s="65">
        <f t="shared" si="133"/>
        <v>0</v>
      </c>
      <c r="I422" s="65">
        <f t="shared" si="133"/>
        <v>0</v>
      </c>
      <c r="J422" s="65">
        <f t="shared" si="133"/>
        <v>0</v>
      </c>
      <c r="K422" s="65">
        <f t="shared" si="133"/>
        <v>0</v>
      </c>
      <c r="L422" s="152">
        <f t="shared" si="133"/>
        <v>0</v>
      </c>
      <c r="M422" s="65">
        <f t="shared" si="133"/>
        <v>0</v>
      </c>
      <c r="N422" s="65">
        <f t="shared" si="133"/>
        <v>2386</v>
      </c>
      <c r="O422" s="65">
        <f t="shared" si="133"/>
        <v>29398129.060000002</v>
      </c>
      <c r="P422" s="65">
        <f t="shared" si="133"/>
        <v>0</v>
      </c>
      <c r="Q422" s="65">
        <f t="shared" si="133"/>
        <v>0</v>
      </c>
      <c r="R422" s="65">
        <f t="shared" si="133"/>
        <v>0</v>
      </c>
      <c r="S422" s="65">
        <f t="shared" si="133"/>
        <v>0</v>
      </c>
      <c r="T422" s="65">
        <f t="shared" si="133"/>
        <v>0</v>
      </c>
      <c r="U422" s="65">
        <f t="shared" si="133"/>
        <v>0</v>
      </c>
      <c r="V422" s="65">
        <f t="shared" si="133"/>
        <v>0</v>
      </c>
      <c r="W422" s="65">
        <f t="shared" si="133"/>
        <v>0</v>
      </c>
      <c r="X422" s="65">
        <f t="shared" si="133"/>
        <v>0</v>
      </c>
      <c r="Y422" s="65">
        <f t="shared" si="133"/>
        <v>450000</v>
      </c>
      <c r="Z422" s="65">
        <f t="shared" si="133"/>
        <v>440971.94</v>
      </c>
      <c r="AA422" s="65">
        <f t="shared" si="133"/>
        <v>0</v>
      </c>
      <c r="AB422" s="66" t="s">
        <v>423</v>
      </c>
      <c r="AC422" s="66" t="s">
        <v>423</v>
      </c>
      <c r="AD422" s="66" t="s">
        <v>423</v>
      </c>
    </row>
    <row r="423" spans="1:30" s="103" customFormat="1" x14ac:dyDescent="0.3">
      <c r="A423">
        <v>1</v>
      </c>
      <c r="B423" s="68">
        <f>SUBTOTAL(9,$A$341:A423)</f>
        <v>75</v>
      </c>
      <c r="C423" s="73" t="s">
        <v>174</v>
      </c>
      <c r="D423" s="79" t="s">
        <v>612</v>
      </c>
      <c r="E423" s="65">
        <f t="shared" ref="E423:E424" si="134">F423+G423+H423+I423+J423+K423+M423+O423+Q423+S423+U423+V423+W423+X423+Z423+AA423+Y423</f>
        <v>19333739</v>
      </c>
      <c r="F423" s="74">
        <v>0</v>
      </c>
      <c r="G423" s="74">
        <v>0</v>
      </c>
      <c r="H423" s="74">
        <v>0</v>
      </c>
      <c r="I423" s="74">
        <v>0</v>
      </c>
      <c r="J423" s="74">
        <v>0</v>
      </c>
      <c r="K423" s="74">
        <v>0</v>
      </c>
      <c r="L423" s="105">
        <v>0</v>
      </c>
      <c r="M423" s="74">
        <v>0</v>
      </c>
      <c r="N423" s="72">
        <v>1523</v>
      </c>
      <c r="O423" s="72">
        <v>18801713.300000001</v>
      </c>
      <c r="P423" s="72">
        <v>0</v>
      </c>
      <c r="Q423" s="74">
        <v>0</v>
      </c>
      <c r="R423" s="74">
        <v>0</v>
      </c>
      <c r="S423" s="74">
        <v>0</v>
      </c>
      <c r="T423" s="74">
        <v>0</v>
      </c>
      <c r="U423" s="74">
        <v>0</v>
      </c>
      <c r="V423" s="74">
        <v>0</v>
      </c>
      <c r="W423" s="74">
        <v>0</v>
      </c>
      <c r="X423" s="74">
        <v>0</v>
      </c>
      <c r="Y423" s="77">
        <v>250000</v>
      </c>
      <c r="Z423" s="77">
        <f t="shared" ref="Z423:Z424" si="135">ROUND(O423*1.5%,2)</f>
        <v>282025.7</v>
      </c>
      <c r="AA423" s="74">
        <v>0</v>
      </c>
      <c r="AB423" s="70">
        <v>2028</v>
      </c>
      <c r="AC423" s="70">
        <v>2028</v>
      </c>
      <c r="AD423" s="70">
        <v>2028</v>
      </c>
    </row>
    <row r="424" spans="1:30" s="103" customFormat="1" x14ac:dyDescent="0.3">
      <c r="A424">
        <v>1</v>
      </c>
      <c r="B424" s="68">
        <f>SUBTOTAL(9,$A$341:A424)</f>
        <v>76</v>
      </c>
      <c r="C424" s="73" t="s">
        <v>175</v>
      </c>
      <c r="D424" s="79" t="s">
        <v>612</v>
      </c>
      <c r="E424" s="65">
        <f t="shared" si="134"/>
        <v>10955362</v>
      </c>
      <c r="F424" s="74">
        <v>0</v>
      </c>
      <c r="G424" s="74">
        <v>0</v>
      </c>
      <c r="H424" s="74">
        <v>0</v>
      </c>
      <c r="I424" s="74">
        <v>0</v>
      </c>
      <c r="J424" s="74">
        <v>0</v>
      </c>
      <c r="K424" s="74">
        <v>0</v>
      </c>
      <c r="L424" s="105">
        <v>0</v>
      </c>
      <c r="M424" s="74">
        <v>0</v>
      </c>
      <c r="N424" s="72">
        <v>863</v>
      </c>
      <c r="O424" s="72">
        <v>10596415.76</v>
      </c>
      <c r="P424" s="72">
        <v>0</v>
      </c>
      <c r="Q424" s="74">
        <v>0</v>
      </c>
      <c r="R424" s="74">
        <v>0</v>
      </c>
      <c r="S424" s="74">
        <v>0</v>
      </c>
      <c r="T424" s="74">
        <v>0</v>
      </c>
      <c r="U424" s="74">
        <v>0</v>
      </c>
      <c r="V424" s="74">
        <v>0</v>
      </c>
      <c r="W424" s="74">
        <v>0</v>
      </c>
      <c r="X424" s="74">
        <v>0</v>
      </c>
      <c r="Y424" s="77">
        <v>200000</v>
      </c>
      <c r="Z424" s="77">
        <f t="shared" si="135"/>
        <v>158946.23999999999</v>
      </c>
      <c r="AA424" s="74">
        <v>0</v>
      </c>
      <c r="AB424" s="70">
        <v>2028</v>
      </c>
      <c r="AC424" s="70">
        <v>2028</v>
      </c>
      <c r="AD424" s="70">
        <v>2028</v>
      </c>
    </row>
    <row r="425" spans="1:30" x14ac:dyDescent="0.3">
      <c r="B425" s="62" t="s">
        <v>691</v>
      </c>
      <c r="C425" s="62"/>
      <c r="D425" s="86"/>
      <c r="E425" s="5">
        <f>E426+E427</f>
        <v>14357909.359999999</v>
      </c>
      <c r="F425" s="5">
        <f t="shared" ref="F425:AA425" si="136">F426+F427</f>
        <v>0</v>
      </c>
      <c r="G425" s="5">
        <f t="shared" si="136"/>
        <v>0</v>
      </c>
      <c r="H425" s="5">
        <f t="shared" si="136"/>
        <v>0</v>
      </c>
      <c r="I425" s="5">
        <f t="shared" si="136"/>
        <v>0</v>
      </c>
      <c r="J425" s="5">
        <f t="shared" si="136"/>
        <v>0</v>
      </c>
      <c r="K425" s="5">
        <f t="shared" si="136"/>
        <v>0</v>
      </c>
      <c r="L425" s="62">
        <f t="shared" si="136"/>
        <v>0</v>
      </c>
      <c r="M425" s="5">
        <f t="shared" si="136"/>
        <v>0</v>
      </c>
      <c r="N425" s="5">
        <f t="shared" si="136"/>
        <v>830</v>
      </c>
      <c r="O425" s="5">
        <f t="shared" si="136"/>
        <v>13751634.84</v>
      </c>
      <c r="P425" s="5">
        <f t="shared" si="136"/>
        <v>0</v>
      </c>
      <c r="Q425" s="5">
        <f t="shared" si="136"/>
        <v>0</v>
      </c>
      <c r="R425" s="5">
        <f t="shared" si="136"/>
        <v>0</v>
      </c>
      <c r="S425" s="5">
        <f t="shared" si="136"/>
        <v>0</v>
      </c>
      <c r="T425" s="5">
        <f t="shared" si="136"/>
        <v>0</v>
      </c>
      <c r="U425" s="5">
        <f t="shared" si="136"/>
        <v>0</v>
      </c>
      <c r="V425" s="5">
        <f t="shared" si="136"/>
        <v>0</v>
      </c>
      <c r="W425" s="5">
        <f t="shared" si="136"/>
        <v>0</v>
      </c>
      <c r="X425" s="5">
        <f t="shared" si="136"/>
        <v>0</v>
      </c>
      <c r="Y425" s="5">
        <f t="shared" si="136"/>
        <v>400000</v>
      </c>
      <c r="Z425" s="5">
        <f t="shared" si="136"/>
        <v>206274.52000000002</v>
      </c>
      <c r="AA425" s="5">
        <f t="shared" si="136"/>
        <v>0</v>
      </c>
      <c r="AB425" s="66" t="s">
        <v>423</v>
      </c>
      <c r="AC425" s="66" t="s">
        <v>423</v>
      </c>
      <c r="AD425" s="66" t="s">
        <v>423</v>
      </c>
    </row>
    <row r="426" spans="1:30" x14ac:dyDescent="0.3">
      <c r="A426">
        <v>1</v>
      </c>
      <c r="B426" s="68">
        <f>SUBTOTAL(9,$A$341:A426)</f>
        <v>77</v>
      </c>
      <c r="C426" s="73" t="s">
        <v>181</v>
      </c>
      <c r="D426" s="79" t="s">
        <v>613</v>
      </c>
      <c r="E426" s="65">
        <f>F426+G426+H426+I426+J426+K426+M426+O426+Q426+S426+U426+V426+W426+X426+Z426+AA426+Y426</f>
        <v>6284201</v>
      </c>
      <c r="F426" s="77">
        <v>0</v>
      </c>
      <c r="G426" s="77">
        <v>0</v>
      </c>
      <c r="H426" s="77">
        <v>0</v>
      </c>
      <c r="I426" s="77">
        <v>0</v>
      </c>
      <c r="J426" s="77">
        <v>0</v>
      </c>
      <c r="K426" s="77">
        <v>0</v>
      </c>
      <c r="L426" s="155">
        <v>0</v>
      </c>
      <c r="M426" s="77">
        <v>0</v>
      </c>
      <c r="N426" s="72">
        <v>350</v>
      </c>
      <c r="O426" s="72">
        <v>5994286.7000000002</v>
      </c>
      <c r="P426" s="77">
        <v>0</v>
      </c>
      <c r="Q426" s="77">
        <v>0</v>
      </c>
      <c r="R426" s="77">
        <v>0</v>
      </c>
      <c r="S426" s="77">
        <v>0</v>
      </c>
      <c r="T426" s="77">
        <v>0</v>
      </c>
      <c r="U426" s="77">
        <v>0</v>
      </c>
      <c r="V426" s="77">
        <v>0</v>
      </c>
      <c r="W426" s="77">
        <v>0</v>
      </c>
      <c r="X426" s="77">
        <v>0</v>
      </c>
      <c r="Y426" s="77">
        <v>200000</v>
      </c>
      <c r="Z426" s="77">
        <f>ROUND(O426*1.5%,2)</f>
        <v>89914.3</v>
      </c>
      <c r="AA426" s="77">
        <v>0</v>
      </c>
      <c r="AB426" s="70">
        <v>2028</v>
      </c>
      <c r="AC426" s="70">
        <v>2028</v>
      </c>
      <c r="AD426" s="70">
        <v>2028</v>
      </c>
    </row>
    <row r="427" spans="1:30" x14ac:dyDescent="0.3">
      <c r="A427">
        <v>1</v>
      </c>
      <c r="B427" s="68">
        <f>SUBTOTAL(9,$A$341:A427)</f>
        <v>78</v>
      </c>
      <c r="C427" s="73" t="s">
        <v>382</v>
      </c>
      <c r="D427" s="79" t="s">
        <v>613</v>
      </c>
      <c r="E427" s="65">
        <f>F427+G427+H427+I427+J427+K427+M427+O427+Q427+S427+U427+V427+W427+X427+Z427+AA427+Y427</f>
        <v>8073708.3599999994</v>
      </c>
      <c r="F427" s="77">
        <v>0</v>
      </c>
      <c r="G427" s="77">
        <v>0</v>
      </c>
      <c r="H427" s="77">
        <v>0</v>
      </c>
      <c r="I427" s="77">
        <v>0</v>
      </c>
      <c r="J427" s="77">
        <v>0</v>
      </c>
      <c r="K427" s="77">
        <v>0</v>
      </c>
      <c r="L427" s="155">
        <v>0</v>
      </c>
      <c r="M427" s="77">
        <v>0</v>
      </c>
      <c r="N427" s="72">
        <v>480</v>
      </c>
      <c r="O427" s="72">
        <v>7757348.1399999997</v>
      </c>
      <c r="P427" s="77">
        <v>0</v>
      </c>
      <c r="Q427" s="77">
        <v>0</v>
      </c>
      <c r="R427" s="77">
        <v>0</v>
      </c>
      <c r="S427" s="77">
        <v>0</v>
      </c>
      <c r="T427" s="77">
        <v>0</v>
      </c>
      <c r="U427" s="77">
        <v>0</v>
      </c>
      <c r="V427" s="77">
        <v>0</v>
      </c>
      <c r="W427" s="77">
        <v>0</v>
      </c>
      <c r="X427" s="77">
        <v>0</v>
      </c>
      <c r="Y427" s="77">
        <v>200000</v>
      </c>
      <c r="Z427" s="77">
        <f>ROUND(O427*1.5%,2)</f>
        <v>116360.22</v>
      </c>
      <c r="AA427" s="77">
        <v>0</v>
      </c>
      <c r="AB427" s="70">
        <v>2028</v>
      </c>
      <c r="AC427" s="70">
        <v>2028</v>
      </c>
      <c r="AD427" s="70">
        <v>2028</v>
      </c>
    </row>
    <row r="428" spans="1:30" x14ac:dyDescent="0.3">
      <c r="B428" s="62" t="s">
        <v>688</v>
      </c>
      <c r="C428" s="62"/>
      <c r="D428" s="86"/>
      <c r="E428" s="5">
        <f>E429</f>
        <v>7616706</v>
      </c>
      <c r="F428" s="77">
        <f t="shared" ref="F428:AA428" si="137">F429</f>
        <v>0</v>
      </c>
      <c r="G428" s="77">
        <f t="shared" si="137"/>
        <v>0</v>
      </c>
      <c r="H428" s="77">
        <f t="shared" si="137"/>
        <v>0</v>
      </c>
      <c r="I428" s="77">
        <f t="shared" si="137"/>
        <v>0</v>
      </c>
      <c r="J428" s="77">
        <f t="shared" si="137"/>
        <v>0</v>
      </c>
      <c r="K428" s="77">
        <f t="shared" si="137"/>
        <v>0</v>
      </c>
      <c r="L428" s="155">
        <f t="shared" si="137"/>
        <v>0</v>
      </c>
      <c r="M428" s="77">
        <f t="shared" si="137"/>
        <v>0</v>
      </c>
      <c r="N428" s="77">
        <f t="shared" si="137"/>
        <v>600</v>
      </c>
      <c r="O428" s="77">
        <f t="shared" si="137"/>
        <v>7307099.5099999998</v>
      </c>
      <c r="P428" s="77">
        <f t="shared" si="137"/>
        <v>0</v>
      </c>
      <c r="Q428" s="77">
        <f t="shared" si="137"/>
        <v>0</v>
      </c>
      <c r="R428" s="77">
        <f t="shared" si="137"/>
        <v>0</v>
      </c>
      <c r="S428" s="77">
        <f t="shared" si="137"/>
        <v>0</v>
      </c>
      <c r="T428" s="77">
        <f t="shared" si="137"/>
        <v>0</v>
      </c>
      <c r="U428" s="77">
        <f t="shared" si="137"/>
        <v>0</v>
      </c>
      <c r="V428" s="77">
        <f t="shared" si="137"/>
        <v>0</v>
      </c>
      <c r="W428" s="77">
        <f t="shared" si="137"/>
        <v>0</v>
      </c>
      <c r="X428" s="77">
        <f t="shared" si="137"/>
        <v>0</v>
      </c>
      <c r="Y428" s="77">
        <f t="shared" si="137"/>
        <v>200000</v>
      </c>
      <c r="Z428" s="77">
        <f t="shared" si="137"/>
        <v>109606.49</v>
      </c>
      <c r="AA428" s="77">
        <f t="shared" si="137"/>
        <v>0</v>
      </c>
      <c r="AB428" s="66" t="s">
        <v>423</v>
      </c>
      <c r="AC428" s="66" t="s">
        <v>423</v>
      </c>
      <c r="AD428" s="66" t="s">
        <v>423</v>
      </c>
    </row>
    <row r="429" spans="1:30" x14ac:dyDescent="0.3">
      <c r="A429">
        <v>1</v>
      </c>
      <c r="B429" s="68">
        <f>SUBTOTAL(9,$A$341:A429)</f>
        <v>79</v>
      </c>
      <c r="C429" s="73" t="s">
        <v>182</v>
      </c>
      <c r="D429" s="79" t="s">
        <v>614</v>
      </c>
      <c r="E429" s="65">
        <f>F429+G429+H429+I429+J429+K429+M429+O429+Q429+S429+U429+V429+W429+X429+Z429+AA429+Y429</f>
        <v>7616706</v>
      </c>
      <c r="F429" s="77">
        <v>0</v>
      </c>
      <c r="G429" s="77">
        <v>0</v>
      </c>
      <c r="H429" s="77">
        <v>0</v>
      </c>
      <c r="I429" s="77">
        <v>0</v>
      </c>
      <c r="J429" s="77">
        <v>0</v>
      </c>
      <c r="K429" s="77">
        <v>0</v>
      </c>
      <c r="L429" s="155">
        <v>0</v>
      </c>
      <c r="M429" s="77">
        <v>0</v>
      </c>
      <c r="N429" s="72">
        <v>600</v>
      </c>
      <c r="O429" s="72">
        <v>7307099.5099999998</v>
      </c>
      <c r="P429" s="77">
        <v>0</v>
      </c>
      <c r="Q429" s="77">
        <v>0</v>
      </c>
      <c r="R429" s="77">
        <v>0</v>
      </c>
      <c r="S429" s="77">
        <v>0</v>
      </c>
      <c r="T429" s="77">
        <v>0</v>
      </c>
      <c r="U429" s="77">
        <v>0</v>
      </c>
      <c r="V429" s="77">
        <v>0</v>
      </c>
      <c r="W429" s="77">
        <v>0</v>
      </c>
      <c r="X429" s="77">
        <v>0</v>
      </c>
      <c r="Y429" s="77">
        <v>200000</v>
      </c>
      <c r="Z429" s="77">
        <f>ROUND(O429*1.5%,2)</f>
        <v>109606.49</v>
      </c>
      <c r="AA429" s="77">
        <v>0</v>
      </c>
      <c r="AB429" s="70">
        <v>2028</v>
      </c>
      <c r="AC429" s="70">
        <v>2028</v>
      </c>
      <c r="AD429" s="70">
        <v>2028</v>
      </c>
    </row>
    <row r="430" spans="1:30" x14ac:dyDescent="0.3">
      <c r="B430" s="62" t="s">
        <v>694</v>
      </c>
      <c r="C430" s="62"/>
      <c r="D430" s="86"/>
      <c r="E430" s="5">
        <f>SUM(E431:E437)</f>
        <v>59404379.280000001</v>
      </c>
      <c r="F430" s="5">
        <f t="shared" ref="F430:AA430" si="138">SUM(F431:F437)</f>
        <v>0</v>
      </c>
      <c r="G430" s="5">
        <f t="shared" si="138"/>
        <v>0</v>
      </c>
      <c r="H430" s="5">
        <f t="shared" si="138"/>
        <v>0</v>
      </c>
      <c r="I430" s="5">
        <f t="shared" si="138"/>
        <v>0</v>
      </c>
      <c r="J430" s="5">
        <f t="shared" si="138"/>
        <v>0</v>
      </c>
      <c r="K430" s="5">
        <f t="shared" si="138"/>
        <v>0</v>
      </c>
      <c r="L430" s="62">
        <f t="shared" si="138"/>
        <v>0</v>
      </c>
      <c r="M430" s="5">
        <f t="shared" si="138"/>
        <v>0</v>
      </c>
      <c r="N430" s="5">
        <f t="shared" si="138"/>
        <v>4489.9799999999996</v>
      </c>
      <c r="O430" s="5">
        <f t="shared" si="138"/>
        <v>57294954.960000008</v>
      </c>
      <c r="P430" s="5">
        <f t="shared" si="138"/>
        <v>0</v>
      </c>
      <c r="Q430" s="5">
        <f t="shared" si="138"/>
        <v>0</v>
      </c>
      <c r="R430" s="5">
        <f t="shared" si="138"/>
        <v>0</v>
      </c>
      <c r="S430" s="5">
        <f t="shared" si="138"/>
        <v>0</v>
      </c>
      <c r="T430" s="5">
        <f t="shared" si="138"/>
        <v>0</v>
      </c>
      <c r="U430" s="5">
        <f t="shared" si="138"/>
        <v>0</v>
      </c>
      <c r="V430" s="5">
        <f t="shared" si="138"/>
        <v>0</v>
      </c>
      <c r="W430" s="5">
        <f t="shared" si="138"/>
        <v>0</v>
      </c>
      <c r="X430" s="5">
        <f t="shared" si="138"/>
        <v>0</v>
      </c>
      <c r="Y430" s="5">
        <f t="shared" si="138"/>
        <v>1250000</v>
      </c>
      <c r="Z430" s="5">
        <f t="shared" si="138"/>
        <v>859424.32000000007</v>
      </c>
      <c r="AA430" s="5">
        <f t="shared" si="138"/>
        <v>0</v>
      </c>
      <c r="AB430" s="66" t="s">
        <v>423</v>
      </c>
      <c r="AC430" s="66" t="s">
        <v>423</v>
      </c>
      <c r="AD430" s="66" t="s">
        <v>423</v>
      </c>
    </row>
    <row r="431" spans="1:30" x14ac:dyDescent="0.3">
      <c r="A431">
        <v>1</v>
      </c>
      <c r="B431" s="68">
        <f>SUBTOTAL(9,$A$341:A431)</f>
        <v>80</v>
      </c>
      <c r="C431" s="73" t="s">
        <v>192</v>
      </c>
      <c r="D431" s="79" t="s">
        <v>615</v>
      </c>
      <c r="E431" s="65">
        <f t="shared" ref="E431:E435" si="139">F431+G431+H431+I431+J431+K431+M431+O431+Q431+S431+U431+V431+W431+X431+Z431+AA431+Y431</f>
        <v>11856672.34</v>
      </c>
      <c r="F431" s="77">
        <v>0</v>
      </c>
      <c r="G431" s="77">
        <v>0</v>
      </c>
      <c r="H431" s="77">
        <v>0</v>
      </c>
      <c r="I431" s="77">
        <v>0</v>
      </c>
      <c r="J431" s="77">
        <v>0</v>
      </c>
      <c r="K431" s="77">
        <v>0</v>
      </c>
      <c r="L431" s="155">
        <v>0</v>
      </c>
      <c r="M431" s="77">
        <v>0</v>
      </c>
      <c r="N431" s="71">
        <v>934</v>
      </c>
      <c r="O431" s="72">
        <v>11533667.33</v>
      </c>
      <c r="P431" s="77">
        <v>0</v>
      </c>
      <c r="Q431" s="77">
        <v>0</v>
      </c>
      <c r="R431" s="77">
        <v>0</v>
      </c>
      <c r="S431" s="77">
        <v>0</v>
      </c>
      <c r="T431" s="77">
        <v>0</v>
      </c>
      <c r="U431" s="77">
        <v>0</v>
      </c>
      <c r="V431" s="77">
        <v>0</v>
      </c>
      <c r="W431" s="77">
        <v>0</v>
      </c>
      <c r="X431" s="77">
        <v>0</v>
      </c>
      <c r="Y431" s="77">
        <v>150000</v>
      </c>
      <c r="Z431" s="77">
        <f t="shared" ref="Z431:Z435" si="140">ROUND(O431*1.5%,2)</f>
        <v>173005.01</v>
      </c>
      <c r="AA431" s="77">
        <v>0</v>
      </c>
      <c r="AB431" s="70">
        <v>2028</v>
      </c>
      <c r="AC431" s="70">
        <v>2028</v>
      </c>
      <c r="AD431" s="70">
        <v>2028</v>
      </c>
    </row>
    <row r="432" spans="1:30" x14ac:dyDescent="0.3">
      <c r="A432">
        <v>1</v>
      </c>
      <c r="B432" s="68">
        <f>SUBTOTAL(9,$A$341:A432)</f>
        <v>81</v>
      </c>
      <c r="C432" s="73" t="s">
        <v>193</v>
      </c>
      <c r="D432" s="79" t="s">
        <v>615</v>
      </c>
      <c r="E432" s="65">
        <f t="shared" si="139"/>
        <v>10037572.939999999</v>
      </c>
      <c r="F432" s="77">
        <v>0</v>
      </c>
      <c r="G432" s="77">
        <v>0</v>
      </c>
      <c r="H432" s="77">
        <v>0</v>
      </c>
      <c r="I432" s="77">
        <v>0</v>
      </c>
      <c r="J432" s="77">
        <v>0</v>
      </c>
      <c r="K432" s="77">
        <v>0</v>
      </c>
      <c r="L432" s="155">
        <v>0</v>
      </c>
      <c r="M432" s="77">
        <v>0</v>
      </c>
      <c r="N432" s="71">
        <v>776.1</v>
      </c>
      <c r="O432" s="72">
        <v>9692190.0899999999</v>
      </c>
      <c r="P432" s="77">
        <v>0</v>
      </c>
      <c r="Q432" s="77">
        <v>0</v>
      </c>
      <c r="R432" s="77">
        <v>0</v>
      </c>
      <c r="S432" s="77">
        <v>0</v>
      </c>
      <c r="T432" s="77">
        <v>0</v>
      </c>
      <c r="U432" s="77">
        <v>0</v>
      </c>
      <c r="V432" s="77">
        <v>0</v>
      </c>
      <c r="W432" s="77">
        <v>0</v>
      </c>
      <c r="X432" s="77">
        <v>0</v>
      </c>
      <c r="Y432" s="77">
        <v>200000</v>
      </c>
      <c r="Z432" s="77">
        <f t="shared" si="140"/>
        <v>145382.85</v>
      </c>
      <c r="AA432" s="77">
        <v>0</v>
      </c>
      <c r="AB432" s="70">
        <v>2028</v>
      </c>
      <c r="AC432" s="70">
        <v>2028</v>
      </c>
      <c r="AD432" s="70">
        <v>2028</v>
      </c>
    </row>
    <row r="433" spans="1:30" x14ac:dyDescent="0.3">
      <c r="A433">
        <v>1</v>
      </c>
      <c r="B433" s="68">
        <f>SUBTOTAL(9,$A$341:A433)</f>
        <v>82</v>
      </c>
      <c r="C433" s="73" t="s">
        <v>194</v>
      </c>
      <c r="D433" s="79" t="s">
        <v>615</v>
      </c>
      <c r="E433" s="65">
        <f t="shared" si="139"/>
        <v>10663388.060000001</v>
      </c>
      <c r="F433" s="77">
        <v>0</v>
      </c>
      <c r="G433" s="77">
        <v>0</v>
      </c>
      <c r="H433" s="77">
        <v>0</v>
      </c>
      <c r="I433" s="77">
        <v>0</v>
      </c>
      <c r="J433" s="77">
        <v>0</v>
      </c>
      <c r="K433" s="77">
        <v>0</v>
      </c>
      <c r="L433" s="155">
        <v>0</v>
      </c>
      <c r="M433" s="77">
        <v>0</v>
      </c>
      <c r="N433" s="71">
        <v>840</v>
      </c>
      <c r="O433" s="72">
        <v>10308756.710000001</v>
      </c>
      <c r="P433" s="77">
        <v>0</v>
      </c>
      <c r="Q433" s="77">
        <v>0</v>
      </c>
      <c r="R433" s="77">
        <v>0</v>
      </c>
      <c r="S433" s="77">
        <v>0</v>
      </c>
      <c r="T433" s="77">
        <v>0</v>
      </c>
      <c r="U433" s="77">
        <v>0</v>
      </c>
      <c r="V433" s="77">
        <v>0</v>
      </c>
      <c r="W433" s="77">
        <v>0</v>
      </c>
      <c r="X433" s="77">
        <v>0</v>
      </c>
      <c r="Y433" s="77">
        <v>200000</v>
      </c>
      <c r="Z433" s="77">
        <f t="shared" si="140"/>
        <v>154631.35</v>
      </c>
      <c r="AA433" s="77">
        <v>0</v>
      </c>
      <c r="AB433" s="70">
        <v>2028</v>
      </c>
      <c r="AC433" s="70">
        <v>2028</v>
      </c>
      <c r="AD433" s="70">
        <v>2028</v>
      </c>
    </row>
    <row r="434" spans="1:30" x14ac:dyDescent="0.3">
      <c r="A434">
        <v>1</v>
      </c>
      <c r="B434" s="68">
        <f>SUBTOTAL(9,$A$341:A434)</f>
        <v>83</v>
      </c>
      <c r="C434" s="73" t="s">
        <v>195</v>
      </c>
      <c r="D434" s="79" t="s">
        <v>615</v>
      </c>
      <c r="E434" s="65">
        <f t="shared" si="139"/>
        <v>11332135.190000001</v>
      </c>
      <c r="F434" s="77">
        <v>0</v>
      </c>
      <c r="G434" s="77">
        <v>0</v>
      </c>
      <c r="H434" s="77">
        <v>0</v>
      </c>
      <c r="I434" s="77">
        <v>0</v>
      </c>
      <c r="J434" s="77">
        <v>0</v>
      </c>
      <c r="K434" s="77">
        <v>0</v>
      </c>
      <c r="L434" s="155">
        <v>0</v>
      </c>
      <c r="M434" s="77">
        <v>0</v>
      </c>
      <c r="N434" s="71">
        <v>892.68</v>
      </c>
      <c r="O434" s="72">
        <v>10967620.880000001</v>
      </c>
      <c r="P434" s="77">
        <v>0</v>
      </c>
      <c r="Q434" s="77">
        <v>0</v>
      </c>
      <c r="R434" s="77">
        <v>0</v>
      </c>
      <c r="S434" s="77">
        <v>0</v>
      </c>
      <c r="T434" s="77">
        <v>0</v>
      </c>
      <c r="U434" s="77">
        <v>0</v>
      </c>
      <c r="V434" s="77">
        <v>0</v>
      </c>
      <c r="W434" s="77">
        <v>0</v>
      </c>
      <c r="X434" s="77">
        <v>0</v>
      </c>
      <c r="Y434" s="77">
        <v>200000</v>
      </c>
      <c r="Z434" s="77">
        <f t="shared" si="140"/>
        <v>164514.31</v>
      </c>
      <c r="AA434" s="77">
        <v>0</v>
      </c>
      <c r="AB434" s="70">
        <v>2028</v>
      </c>
      <c r="AC434" s="70">
        <v>2028</v>
      </c>
      <c r="AD434" s="70">
        <v>2028</v>
      </c>
    </row>
    <row r="435" spans="1:30" x14ac:dyDescent="0.3">
      <c r="A435">
        <v>1</v>
      </c>
      <c r="B435" s="68">
        <f>SUBTOTAL(9,$A$341:A435)</f>
        <v>84</v>
      </c>
      <c r="C435" s="73" t="s">
        <v>196</v>
      </c>
      <c r="D435" s="79" t="s">
        <v>615</v>
      </c>
      <c r="E435" s="65">
        <f t="shared" si="139"/>
        <v>3744880.45</v>
      </c>
      <c r="F435" s="77">
        <v>0</v>
      </c>
      <c r="G435" s="77">
        <v>0</v>
      </c>
      <c r="H435" s="77">
        <v>0</v>
      </c>
      <c r="I435" s="77">
        <v>0</v>
      </c>
      <c r="J435" s="77">
        <v>0</v>
      </c>
      <c r="K435" s="77">
        <v>0</v>
      </c>
      <c r="L435" s="155">
        <v>0</v>
      </c>
      <c r="M435" s="77">
        <v>0</v>
      </c>
      <c r="N435" s="71">
        <v>295</v>
      </c>
      <c r="O435" s="72">
        <v>3541754.14</v>
      </c>
      <c r="P435" s="77">
        <v>0</v>
      </c>
      <c r="Q435" s="77">
        <v>0</v>
      </c>
      <c r="R435" s="77">
        <v>0</v>
      </c>
      <c r="S435" s="77">
        <v>0</v>
      </c>
      <c r="T435" s="77">
        <v>0</v>
      </c>
      <c r="U435" s="77">
        <v>0</v>
      </c>
      <c r="V435" s="77">
        <v>0</v>
      </c>
      <c r="W435" s="77">
        <v>0</v>
      </c>
      <c r="X435" s="77">
        <v>0</v>
      </c>
      <c r="Y435" s="77">
        <v>150000</v>
      </c>
      <c r="Z435" s="77">
        <f t="shared" si="140"/>
        <v>53126.31</v>
      </c>
      <c r="AA435" s="77">
        <v>0</v>
      </c>
      <c r="AB435" s="70">
        <v>2028</v>
      </c>
      <c r="AC435" s="70">
        <v>2028</v>
      </c>
      <c r="AD435" s="70">
        <v>2028</v>
      </c>
    </row>
    <row r="436" spans="1:30" x14ac:dyDescent="0.3">
      <c r="A436">
        <v>1</v>
      </c>
      <c r="B436" s="68">
        <f>SUBTOTAL(9,$A$341:A436)</f>
        <v>85</v>
      </c>
      <c r="C436" s="73" t="s">
        <v>197</v>
      </c>
      <c r="D436" s="79" t="s">
        <v>615</v>
      </c>
      <c r="E436" s="65">
        <f>F436+G436+H436+I436+J436+K436+M436+O436+Q436+S436+U436+V436+W436+X436+Z436+AA436+Y436</f>
        <v>4189188.3</v>
      </c>
      <c r="F436" s="77">
        <v>0</v>
      </c>
      <c r="G436" s="77">
        <v>0</v>
      </c>
      <c r="H436" s="77">
        <v>0</v>
      </c>
      <c r="I436" s="77">
        <v>0</v>
      </c>
      <c r="J436" s="77">
        <v>0</v>
      </c>
      <c r="K436" s="77">
        <v>0</v>
      </c>
      <c r="L436" s="155">
        <v>0</v>
      </c>
      <c r="M436" s="77">
        <v>0</v>
      </c>
      <c r="N436" s="72">
        <v>330</v>
      </c>
      <c r="O436" s="72">
        <v>3979495.86</v>
      </c>
      <c r="P436" s="77">
        <v>0</v>
      </c>
      <c r="Q436" s="77">
        <v>0</v>
      </c>
      <c r="R436" s="77">
        <v>0</v>
      </c>
      <c r="S436" s="77">
        <v>0</v>
      </c>
      <c r="T436" s="77">
        <v>0</v>
      </c>
      <c r="U436" s="77">
        <v>0</v>
      </c>
      <c r="V436" s="77">
        <v>0</v>
      </c>
      <c r="W436" s="77">
        <v>0</v>
      </c>
      <c r="X436" s="77">
        <v>0</v>
      </c>
      <c r="Y436" s="77">
        <v>150000</v>
      </c>
      <c r="Z436" s="77">
        <f>ROUND(O436*1.5%,2)</f>
        <v>59692.44</v>
      </c>
      <c r="AA436" s="77">
        <v>0</v>
      </c>
      <c r="AB436" s="70">
        <v>2028</v>
      </c>
      <c r="AC436" s="70">
        <v>2028</v>
      </c>
      <c r="AD436" s="70">
        <v>2028</v>
      </c>
    </row>
    <row r="437" spans="1:30" x14ac:dyDescent="0.3">
      <c r="A437">
        <v>1</v>
      </c>
      <c r="B437" s="68">
        <f>SUBTOTAL(9,$A$341:A437)</f>
        <v>86</v>
      </c>
      <c r="C437" s="73" t="s">
        <v>198</v>
      </c>
      <c r="D437" s="79" t="s">
        <v>615</v>
      </c>
      <c r="E437" s="65">
        <f>F437+G437+H437+I437+J437+K437+M437+O437+Q437+S437+U437+V437+W437+X437+Z437+AA437+Y437</f>
        <v>7580542</v>
      </c>
      <c r="F437" s="77">
        <v>0</v>
      </c>
      <c r="G437" s="77">
        <v>0</v>
      </c>
      <c r="H437" s="77">
        <v>0</v>
      </c>
      <c r="I437" s="77">
        <v>0</v>
      </c>
      <c r="J437" s="77">
        <v>0</v>
      </c>
      <c r="K437" s="77">
        <v>0</v>
      </c>
      <c r="L437" s="155">
        <v>0</v>
      </c>
      <c r="M437" s="77">
        <v>0</v>
      </c>
      <c r="N437" s="72">
        <v>422.2</v>
      </c>
      <c r="O437" s="72">
        <v>7271469.9500000002</v>
      </c>
      <c r="P437" s="77">
        <v>0</v>
      </c>
      <c r="Q437" s="77">
        <v>0</v>
      </c>
      <c r="R437" s="77">
        <v>0</v>
      </c>
      <c r="S437" s="77">
        <v>0</v>
      </c>
      <c r="T437" s="77">
        <v>0</v>
      </c>
      <c r="U437" s="77">
        <v>0</v>
      </c>
      <c r="V437" s="77">
        <v>0</v>
      </c>
      <c r="W437" s="77">
        <v>0</v>
      </c>
      <c r="X437" s="77">
        <v>0</v>
      </c>
      <c r="Y437" s="77">
        <v>200000</v>
      </c>
      <c r="Z437" s="77">
        <f>ROUND(O437*1.5%,2)</f>
        <v>109072.05</v>
      </c>
      <c r="AA437" s="77">
        <v>0</v>
      </c>
      <c r="AB437" s="70">
        <v>2028</v>
      </c>
      <c r="AC437" s="70">
        <v>2028</v>
      </c>
      <c r="AD437" s="70">
        <v>2028</v>
      </c>
    </row>
    <row r="438" spans="1:30" x14ac:dyDescent="0.3">
      <c r="B438" s="62" t="s">
        <v>699</v>
      </c>
      <c r="C438" s="62"/>
      <c r="D438" s="86"/>
      <c r="E438" s="5">
        <f>SUM(E439:E441)</f>
        <v>27229723.949999999</v>
      </c>
      <c r="F438" s="5">
        <f t="shared" ref="F438:AA438" si="141">SUM(F439:F441)</f>
        <v>0</v>
      </c>
      <c r="G438" s="5">
        <f t="shared" si="141"/>
        <v>0</v>
      </c>
      <c r="H438" s="5">
        <f t="shared" si="141"/>
        <v>0</v>
      </c>
      <c r="I438" s="5">
        <f t="shared" si="141"/>
        <v>0</v>
      </c>
      <c r="J438" s="5">
        <f t="shared" si="141"/>
        <v>0</v>
      </c>
      <c r="K438" s="5">
        <f t="shared" si="141"/>
        <v>0</v>
      </c>
      <c r="L438" s="155">
        <f t="shared" si="141"/>
        <v>0</v>
      </c>
      <c r="M438" s="5">
        <f t="shared" si="141"/>
        <v>0</v>
      </c>
      <c r="N438" s="5">
        <f t="shared" si="141"/>
        <v>2145</v>
      </c>
      <c r="O438" s="5">
        <f t="shared" si="141"/>
        <v>26285442.310000002</v>
      </c>
      <c r="P438" s="5">
        <f t="shared" si="141"/>
        <v>0</v>
      </c>
      <c r="Q438" s="5">
        <f t="shared" si="141"/>
        <v>0</v>
      </c>
      <c r="R438" s="5">
        <f t="shared" si="141"/>
        <v>0</v>
      </c>
      <c r="S438" s="5">
        <f t="shared" si="141"/>
        <v>0</v>
      </c>
      <c r="T438" s="5">
        <f t="shared" si="141"/>
        <v>0</v>
      </c>
      <c r="U438" s="5">
        <f t="shared" si="141"/>
        <v>0</v>
      </c>
      <c r="V438" s="5">
        <f t="shared" si="141"/>
        <v>0</v>
      </c>
      <c r="W438" s="5">
        <f t="shared" si="141"/>
        <v>0</v>
      </c>
      <c r="X438" s="5">
        <f t="shared" si="141"/>
        <v>0</v>
      </c>
      <c r="Y438" s="5">
        <f t="shared" si="141"/>
        <v>550000</v>
      </c>
      <c r="Z438" s="5">
        <f t="shared" si="141"/>
        <v>394281.64</v>
      </c>
      <c r="AA438" s="5">
        <f t="shared" si="141"/>
        <v>0</v>
      </c>
      <c r="AB438" s="66" t="s">
        <v>423</v>
      </c>
      <c r="AC438" s="66" t="s">
        <v>423</v>
      </c>
      <c r="AD438" s="66" t="s">
        <v>423</v>
      </c>
    </row>
    <row r="439" spans="1:30" x14ac:dyDescent="0.3">
      <c r="A439">
        <v>1</v>
      </c>
      <c r="B439" s="68">
        <f>SUBTOTAL(9,$A$341:A439)</f>
        <v>87</v>
      </c>
      <c r="C439" s="73" t="s">
        <v>205</v>
      </c>
      <c r="D439" s="79" t="s">
        <v>616</v>
      </c>
      <c r="E439" s="65">
        <f>F439+G439+H439+I439+J439+K439+M439+O439+Q439+S439+U439+V439+W439+X439+Z439+AA439+Y439</f>
        <v>4570023.5999999996</v>
      </c>
      <c r="F439" s="77">
        <v>0</v>
      </c>
      <c r="G439" s="77">
        <v>0</v>
      </c>
      <c r="H439" s="77">
        <v>0</v>
      </c>
      <c r="I439" s="77">
        <v>0</v>
      </c>
      <c r="J439" s="77">
        <v>0</v>
      </c>
      <c r="K439" s="77">
        <v>0</v>
      </c>
      <c r="L439" s="155">
        <v>0</v>
      </c>
      <c r="M439" s="77">
        <v>0</v>
      </c>
      <c r="N439" s="71">
        <v>360</v>
      </c>
      <c r="O439" s="72">
        <v>4354703.05</v>
      </c>
      <c r="P439" s="77">
        <v>0</v>
      </c>
      <c r="Q439" s="77">
        <v>0</v>
      </c>
      <c r="R439" s="77">
        <v>0</v>
      </c>
      <c r="S439" s="77">
        <v>0</v>
      </c>
      <c r="T439" s="77">
        <v>0</v>
      </c>
      <c r="U439" s="77">
        <v>0</v>
      </c>
      <c r="V439" s="77">
        <v>0</v>
      </c>
      <c r="W439" s="77">
        <v>0</v>
      </c>
      <c r="X439" s="77">
        <v>0</v>
      </c>
      <c r="Y439" s="77">
        <v>150000</v>
      </c>
      <c r="Z439" s="77">
        <f>ROUND(O439*1.5%,2)</f>
        <v>65320.55</v>
      </c>
      <c r="AA439" s="77">
        <v>0</v>
      </c>
      <c r="AB439" s="70">
        <v>2028</v>
      </c>
      <c r="AC439" s="70">
        <v>2028</v>
      </c>
      <c r="AD439" s="70">
        <v>2028</v>
      </c>
    </row>
    <row r="440" spans="1:30" x14ac:dyDescent="0.3">
      <c r="A440">
        <v>1</v>
      </c>
      <c r="B440" s="68">
        <f>SUBTOTAL(9,$A$341:A440)</f>
        <v>88</v>
      </c>
      <c r="C440" s="73" t="s">
        <v>206</v>
      </c>
      <c r="D440" s="79" t="s">
        <v>616</v>
      </c>
      <c r="E440" s="65">
        <f>F440+G440+H440+I440+J440+K440+M440+O440+Q440+S440+U440+V440+W440+X440+Z440+AA440+Y440</f>
        <v>11209252.33</v>
      </c>
      <c r="F440" s="77">
        <v>0</v>
      </c>
      <c r="G440" s="77">
        <v>0</v>
      </c>
      <c r="H440" s="77">
        <v>0</v>
      </c>
      <c r="I440" s="77">
        <v>0</v>
      </c>
      <c r="J440" s="77">
        <v>0</v>
      </c>
      <c r="K440" s="77">
        <v>0</v>
      </c>
      <c r="L440" s="155">
        <v>0</v>
      </c>
      <c r="M440" s="77">
        <v>0</v>
      </c>
      <c r="N440" s="71">
        <v>883</v>
      </c>
      <c r="O440" s="72">
        <v>10846554.02</v>
      </c>
      <c r="P440" s="77">
        <v>0</v>
      </c>
      <c r="Q440" s="77">
        <v>0</v>
      </c>
      <c r="R440" s="77">
        <v>0</v>
      </c>
      <c r="S440" s="77">
        <v>0</v>
      </c>
      <c r="T440" s="77">
        <v>0</v>
      </c>
      <c r="U440" s="77">
        <v>0</v>
      </c>
      <c r="V440" s="77">
        <v>0</v>
      </c>
      <c r="W440" s="77">
        <v>0</v>
      </c>
      <c r="X440" s="77">
        <v>0</v>
      </c>
      <c r="Y440" s="77">
        <v>200000</v>
      </c>
      <c r="Z440" s="77">
        <f>ROUND(O440*1.5%,2)</f>
        <v>162698.31</v>
      </c>
      <c r="AA440" s="77">
        <v>0</v>
      </c>
      <c r="AB440" s="70">
        <v>2028</v>
      </c>
      <c r="AC440" s="70">
        <v>2028</v>
      </c>
      <c r="AD440" s="70">
        <v>2028</v>
      </c>
    </row>
    <row r="441" spans="1:30" x14ac:dyDescent="0.3">
      <c r="A441">
        <v>1</v>
      </c>
      <c r="B441" s="68">
        <f>SUBTOTAL(9,$A$341:A441)</f>
        <v>89</v>
      </c>
      <c r="C441" s="73" t="s">
        <v>207</v>
      </c>
      <c r="D441" s="79" t="s">
        <v>616</v>
      </c>
      <c r="E441" s="65">
        <f>F441+G441+H441+I441+J441+K441+M441+O441+Q441+S441+U441+V441+W441+X441+Z441+AA441+Y441</f>
        <v>11450448.02</v>
      </c>
      <c r="F441" s="77">
        <v>0</v>
      </c>
      <c r="G441" s="77">
        <v>0</v>
      </c>
      <c r="H441" s="77">
        <v>0</v>
      </c>
      <c r="I441" s="77">
        <v>0</v>
      </c>
      <c r="J441" s="77">
        <v>0</v>
      </c>
      <c r="K441" s="77">
        <v>0</v>
      </c>
      <c r="L441" s="155">
        <v>0</v>
      </c>
      <c r="M441" s="77">
        <v>0</v>
      </c>
      <c r="N441" s="71">
        <v>902</v>
      </c>
      <c r="O441" s="72">
        <v>11084185.24</v>
      </c>
      <c r="P441" s="77">
        <v>0</v>
      </c>
      <c r="Q441" s="77">
        <v>0</v>
      </c>
      <c r="R441" s="77">
        <v>0</v>
      </c>
      <c r="S441" s="77">
        <v>0</v>
      </c>
      <c r="T441" s="77">
        <v>0</v>
      </c>
      <c r="U441" s="77">
        <v>0</v>
      </c>
      <c r="V441" s="77">
        <v>0</v>
      </c>
      <c r="W441" s="77">
        <v>0</v>
      </c>
      <c r="X441" s="77">
        <v>0</v>
      </c>
      <c r="Y441" s="77">
        <v>200000</v>
      </c>
      <c r="Z441" s="77">
        <f>ROUND(O441*1.5%,2)</f>
        <v>166262.78</v>
      </c>
      <c r="AA441" s="77">
        <v>0</v>
      </c>
      <c r="AB441" s="70">
        <v>2028</v>
      </c>
      <c r="AC441" s="70">
        <v>2028</v>
      </c>
      <c r="AD441" s="70">
        <v>2028</v>
      </c>
    </row>
    <row r="442" spans="1:30" x14ac:dyDescent="0.3">
      <c r="B442" s="62" t="s">
        <v>669</v>
      </c>
      <c r="C442" s="62"/>
      <c r="D442" s="86"/>
      <c r="E442" s="5">
        <f>E443+E444+E445+E446+E447+E448+E449+E450</f>
        <v>54164763.110000007</v>
      </c>
      <c r="F442" s="5">
        <f t="shared" ref="F442:AA442" si="142">F443+F444+F445+F446+F447+F448+F449+F450</f>
        <v>0</v>
      </c>
      <c r="G442" s="5">
        <f t="shared" si="142"/>
        <v>0</v>
      </c>
      <c r="H442" s="5">
        <f t="shared" si="142"/>
        <v>0</v>
      </c>
      <c r="I442" s="5">
        <f t="shared" si="142"/>
        <v>0</v>
      </c>
      <c r="J442" s="5">
        <f t="shared" si="142"/>
        <v>0</v>
      </c>
      <c r="K442" s="5">
        <f t="shared" si="142"/>
        <v>0</v>
      </c>
      <c r="L442" s="155">
        <f t="shared" si="142"/>
        <v>0</v>
      </c>
      <c r="M442" s="5">
        <f t="shared" si="142"/>
        <v>0</v>
      </c>
      <c r="N442" s="5">
        <f t="shared" si="142"/>
        <v>4700</v>
      </c>
      <c r="O442" s="5">
        <f t="shared" si="142"/>
        <v>52674643.450000003</v>
      </c>
      <c r="P442" s="5">
        <f t="shared" si="142"/>
        <v>0</v>
      </c>
      <c r="Q442" s="5">
        <f t="shared" si="142"/>
        <v>0</v>
      </c>
      <c r="R442" s="5">
        <f t="shared" si="142"/>
        <v>0</v>
      </c>
      <c r="S442" s="5">
        <f t="shared" si="142"/>
        <v>0</v>
      </c>
      <c r="T442" s="5">
        <f t="shared" si="142"/>
        <v>0</v>
      </c>
      <c r="U442" s="5">
        <f t="shared" si="142"/>
        <v>0</v>
      </c>
      <c r="V442" s="5">
        <f t="shared" si="142"/>
        <v>0</v>
      </c>
      <c r="W442" s="5">
        <f t="shared" si="142"/>
        <v>0</v>
      </c>
      <c r="X442" s="5">
        <f t="shared" si="142"/>
        <v>0</v>
      </c>
      <c r="Y442" s="5">
        <f t="shared" si="142"/>
        <v>700000</v>
      </c>
      <c r="Z442" s="5">
        <f t="shared" si="142"/>
        <v>790119.66</v>
      </c>
      <c r="AA442" s="5">
        <f t="shared" si="142"/>
        <v>0</v>
      </c>
      <c r="AB442" s="66" t="s">
        <v>423</v>
      </c>
      <c r="AC442" s="66" t="s">
        <v>423</v>
      </c>
      <c r="AD442" s="66" t="s">
        <v>423</v>
      </c>
    </row>
    <row r="443" spans="1:30" x14ac:dyDescent="0.3">
      <c r="A443">
        <v>1</v>
      </c>
      <c r="B443" s="68">
        <f>SUBTOTAL(9,$A$341:A443)</f>
        <v>90</v>
      </c>
      <c r="C443" s="73" t="s">
        <v>213</v>
      </c>
      <c r="D443" s="79" t="s">
        <v>617</v>
      </c>
      <c r="E443" s="65">
        <f>F443+G443+H443+I443+J443+K443+M443+O443+Q443+S443+U443+V443+W443+X443+Z443+AA443+Y443</f>
        <v>5386458</v>
      </c>
      <c r="F443" s="77">
        <v>0</v>
      </c>
      <c r="G443" s="77">
        <v>0</v>
      </c>
      <c r="H443" s="77">
        <v>0</v>
      </c>
      <c r="I443" s="77">
        <v>0</v>
      </c>
      <c r="J443" s="77">
        <v>0</v>
      </c>
      <c r="K443" s="77">
        <v>0</v>
      </c>
      <c r="L443" s="155">
        <v>0</v>
      </c>
      <c r="M443" s="77">
        <v>0</v>
      </c>
      <c r="N443" s="90">
        <v>300</v>
      </c>
      <c r="O443" s="72">
        <v>5159071.92</v>
      </c>
      <c r="P443" s="77">
        <v>0</v>
      </c>
      <c r="Q443" s="77">
        <v>0</v>
      </c>
      <c r="R443" s="77">
        <v>0</v>
      </c>
      <c r="S443" s="77">
        <v>0</v>
      </c>
      <c r="T443" s="77">
        <v>0</v>
      </c>
      <c r="U443" s="77">
        <v>0</v>
      </c>
      <c r="V443" s="77">
        <v>0</v>
      </c>
      <c r="W443" s="77">
        <v>0</v>
      </c>
      <c r="X443" s="77">
        <v>0</v>
      </c>
      <c r="Y443" s="77">
        <v>150000</v>
      </c>
      <c r="Z443" s="77">
        <f>ROUND(O443*1.5%,2)</f>
        <v>77386.080000000002</v>
      </c>
      <c r="AA443" s="77">
        <v>0</v>
      </c>
      <c r="AB443" s="70">
        <v>2028</v>
      </c>
      <c r="AC443" s="70">
        <v>2028</v>
      </c>
      <c r="AD443" s="70">
        <v>2028</v>
      </c>
    </row>
    <row r="444" spans="1:30" ht="21.75" customHeight="1" x14ac:dyDescent="0.3">
      <c r="A444">
        <v>1</v>
      </c>
      <c r="B444" s="68">
        <f>SUBTOTAL(9,$A$341:A444)</f>
        <v>91</v>
      </c>
      <c r="C444" s="73" t="s">
        <v>625</v>
      </c>
      <c r="D444" s="79" t="s">
        <v>617</v>
      </c>
      <c r="E444" s="65">
        <f>F444+G444+H444+I444+J444+K444+M444+O444+Q444+S444+U444+V444+W444+X444+Z444+AA444+Y444</f>
        <v>5014331.45</v>
      </c>
      <c r="F444" s="77">
        <v>0</v>
      </c>
      <c r="G444" s="77">
        <v>0</v>
      </c>
      <c r="H444" s="77">
        <v>0</v>
      </c>
      <c r="I444" s="77">
        <v>0</v>
      </c>
      <c r="J444" s="77">
        <v>0</v>
      </c>
      <c r="K444" s="77">
        <v>0</v>
      </c>
      <c r="L444" s="155">
        <v>0</v>
      </c>
      <c r="M444" s="77">
        <v>0</v>
      </c>
      <c r="N444" s="90">
        <v>395</v>
      </c>
      <c r="O444" s="72">
        <v>4743183.6900000004</v>
      </c>
      <c r="P444" s="77">
        <v>0</v>
      </c>
      <c r="Q444" s="77">
        <v>0</v>
      </c>
      <c r="R444" s="77">
        <v>0</v>
      </c>
      <c r="S444" s="77">
        <v>0</v>
      </c>
      <c r="T444" s="77">
        <v>0</v>
      </c>
      <c r="U444" s="77">
        <v>0</v>
      </c>
      <c r="V444" s="77">
        <v>0</v>
      </c>
      <c r="W444" s="77">
        <v>0</v>
      </c>
      <c r="X444" s="77">
        <v>0</v>
      </c>
      <c r="Y444" s="77">
        <v>200000</v>
      </c>
      <c r="Z444" s="77">
        <f>ROUND(O444*1.5%,2)</f>
        <v>71147.759999999995</v>
      </c>
      <c r="AA444" s="77">
        <v>0</v>
      </c>
      <c r="AB444" s="70">
        <v>2028</v>
      </c>
      <c r="AC444" s="70">
        <v>2028</v>
      </c>
      <c r="AD444" s="70">
        <v>2028</v>
      </c>
    </row>
    <row r="445" spans="1:30" x14ac:dyDescent="0.3">
      <c r="A445">
        <v>1</v>
      </c>
      <c r="B445" s="68">
        <f>SUBTOTAL(9,$A$341:A445)</f>
        <v>92</v>
      </c>
      <c r="C445" s="73" t="s">
        <v>215</v>
      </c>
      <c r="D445" s="79" t="s">
        <v>617</v>
      </c>
      <c r="E445" s="65">
        <f>F445+G445+H445+I445+J445+K445+M445+O445+Q445+S445+U445+V445+W445+X445+Z445+AA445+Y445</f>
        <v>10460276.239999998</v>
      </c>
      <c r="F445" s="77">
        <v>0</v>
      </c>
      <c r="G445" s="77">
        <v>0</v>
      </c>
      <c r="H445" s="77">
        <v>0</v>
      </c>
      <c r="I445" s="77">
        <v>0</v>
      </c>
      <c r="J445" s="77">
        <v>0</v>
      </c>
      <c r="K445" s="77">
        <v>0</v>
      </c>
      <c r="L445" s="155">
        <v>0</v>
      </c>
      <c r="M445" s="77">
        <v>0</v>
      </c>
      <c r="N445" s="90">
        <v>824</v>
      </c>
      <c r="O445" s="72">
        <v>10108646.539999999</v>
      </c>
      <c r="P445" s="77">
        <v>0</v>
      </c>
      <c r="Q445" s="77">
        <v>0</v>
      </c>
      <c r="R445" s="77">
        <v>0</v>
      </c>
      <c r="S445" s="77">
        <v>0</v>
      </c>
      <c r="T445" s="77">
        <v>0</v>
      </c>
      <c r="U445" s="77">
        <v>0</v>
      </c>
      <c r="V445" s="77">
        <v>0</v>
      </c>
      <c r="W445" s="77">
        <v>0</v>
      </c>
      <c r="X445" s="77">
        <v>0</v>
      </c>
      <c r="Y445" s="77">
        <v>200000</v>
      </c>
      <c r="Z445" s="77">
        <f>ROUND(O445*1.5%,2)</f>
        <v>151629.70000000001</v>
      </c>
      <c r="AA445" s="77">
        <v>0</v>
      </c>
      <c r="AB445" s="70">
        <v>2028</v>
      </c>
      <c r="AC445" s="70">
        <v>2028</v>
      </c>
      <c r="AD445" s="70">
        <v>2028</v>
      </c>
    </row>
    <row r="446" spans="1:30" x14ac:dyDescent="0.3">
      <c r="A446">
        <v>1</v>
      </c>
      <c r="B446" s="68">
        <f>SUBTOTAL(9,$A$341:A446)</f>
        <v>93</v>
      </c>
      <c r="C446" s="73" t="s">
        <v>216</v>
      </c>
      <c r="D446" s="79" t="s">
        <v>617</v>
      </c>
      <c r="E446" s="65">
        <f>F446+G446+H446+I446+J446+K446+M446+O446+Q446+S446+U446+V446+W446+X446+Z446+AA446+Y446</f>
        <v>5781464.9199999999</v>
      </c>
      <c r="F446" s="77">
        <v>0</v>
      </c>
      <c r="G446" s="77">
        <v>0</v>
      </c>
      <c r="H446" s="77">
        <v>0</v>
      </c>
      <c r="I446" s="77">
        <v>0</v>
      </c>
      <c r="J446" s="77">
        <v>0</v>
      </c>
      <c r="K446" s="77">
        <v>0</v>
      </c>
      <c r="L446" s="155">
        <v>0</v>
      </c>
      <c r="M446" s="77">
        <v>0</v>
      </c>
      <c r="N446" s="90">
        <v>322</v>
      </c>
      <c r="O446" s="72">
        <v>5548241.2999999998</v>
      </c>
      <c r="P446" s="77">
        <v>0</v>
      </c>
      <c r="Q446" s="77">
        <v>0</v>
      </c>
      <c r="R446" s="77">
        <v>0</v>
      </c>
      <c r="S446" s="77">
        <v>0</v>
      </c>
      <c r="T446" s="77">
        <v>0</v>
      </c>
      <c r="U446" s="77">
        <v>0</v>
      </c>
      <c r="V446" s="77">
        <v>0</v>
      </c>
      <c r="W446" s="77">
        <v>0</v>
      </c>
      <c r="X446" s="77">
        <v>0</v>
      </c>
      <c r="Y446" s="77">
        <v>150000</v>
      </c>
      <c r="Z446" s="77">
        <f>ROUND(O446*1.5%,2)</f>
        <v>83223.62</v>
      </c>
      <c r="AA446" s="77">
        <v>0</v>
      </c>
      <c r="AB446" s="70">
        <v>2028</v>
      </c>
      <c r="AC446" s="70">
        <v>2028</v>
      </c>
      <c r="AD446" s="70">
        <v>2028</v>
      </c>
    </row>
    <row r="447" spans="1:30" x14ac:dyDescent="0.3">
      <c r="A447">
        <v>1</v>
      </c>
      <c r="B447" s="68">
        <f>SUBTOTAL(9,$A$341:A447)</f>
        <v>94</v>
      </c>
      <c r="C447" s="73" t="s">
        <v>671</v>
      </c>
      <c r="D447" s="79" t="s">
        <v>617</v>
      </c>
      <c r="E447" s="65">
        <f t="shared" ref="E447:E450" si="143">F447+G447+H447+I447+J447+K447+M447+O447+Q447+S447+U447+V447+W447+X447+Z447+AA447+Y447</f>
        <v>7010026.4500000002</v>
      </c>
      <c r="F447" s="77">
        <v>0</v>
      </c>
      <c r="G447" s="77">
        <v>0</v>
      </c>
      <c r="H447" s="77">
        <v>0</v>
      </c>
      <c r="I447" s="77">
        <v>0</v>
      </c>
      <c r="J447" s="77">
        <v>0</v>
      </c>
      <c r="K447" s="77">
        <v>0</v>
      </c>
      <c r="L447" s="155">
        <v>0</v>
      </c>
      <c r="M447" s="77">
        <v>0</v>
      </c>
      <c r="N447" s="90">
        <v>840</v>
      </c>
      <c r="O447" s="72">
        <v>6906430</v>
      </c>
      <c r="P447" s="77">
        <v>0</v>
      </c>
      <c r="Q447" s="77">
        <v>0</v>
      </c>
      <c r="R447" s="77">
        <v>0</v>
      </c>
      <c r="S447" s="77">
        <v>0</v>
      </c>
      <c r="T447" s="77">
        <v>0</v>
      </c>
      <c r="U447" s="77">
        <v>0</v>
      </c>
      <c r="V447" s="77">
        <v>0</v>
      </c>
      <c r="W447" s="77">
        <v>0</v>
      </c>
      <c r="X447" s="77">
        <v>0</v>
      </c>
      <c r="Y447" s="77">
        <v>0</v>
      </c>
      <c r="Z447" s="77">
        <f>ROUND(O447*1.5%,2)</f>
        <v>103596.45</v>
      </c>
      <c r="AA447" s="77">
        <v>0</v>
      </c>
      <c r="AB447" s="70" t="s">
        <v>426</v>
      </c>
      <c r="AC447" s="70">
        <v>2028</v>
      </c>
      <c r="AD447" s="70">
        <v>2028</v>
      </c>
    </row>
    <row r="448" spans="1:30" x14ac:dyDescent="0.3">
      <c r="A448">
        <v>1</v>
      </c>
      <c r="B448" s="68">
        <f>SUBTOTAL(9,$A$341:A448)</f>
        <v>95</v>
      </c>
      <c r="C448" s="73" t="s">
        <v>672</v>
      </c>
      <c r="D448" s="79" t="s">
        <v>617</v>
      </c>
      <c r="E448" s="65">
        <f t="shared" si="143"/>
        <v>8582586.25</v>
      </c>
      <c r="F448" s="77">
        <v>0</v>
      </c>
      <c r="G448" s="77">
        <v>0</v>
      </c>
      <c r="H448" s="77">
        <v>0</v>
      </c>
      <c r="I448" s="77">
        <v>0</v>
      </c>
      <c r="J448" s="77">
        <v>0</v>
      </c>
      <c r="K448" s="77">
        <v>0</v>
      </c>
      <c r="L448" s="155">
        <v>0</v>
      </c>
      <c r="M448" s="77">
        <v>0</v>
      </c>
      <c r="N448" s="90">
        <v>607</v>
      </c>
      <c r="O448" s="72">
        <v>8455750</v>
      </c>
      <c r="P448" s="77">
        <v>0</v>
      </c>
      <c r="Q448" s="77">
        <v>0</v>
      </c>
      <c r="R448" s="77">
        <v>0</v>
      </c>
      <c r="S448" s="77">
        <v>0</v>
      </c>
      <c r="T448" s="77">
        <v>0</v>
      </c>
      <c r="U448" s="77">
        <v>0</v>
      </c>
      <c r="V448" s="77">
        <v>0</v>
      </c>
      <c r="W448" s="77">
        <v>0</v>
      </c>
      <c r="X448" s="77">
        <v>0</v>
      </c>
      <c r="Y448" s="77">
        <v>0</v>
      </c>
      <c r="Z448" s="77">
        <f t="shared" ref="Z448:Z450" si="144">ROUND(O448*1.5%,2)</f>
        <v>126836.25</v>
      </c>
      <c r="AA448" s="77">
        <v>0</v>
      </c>
      <c r="AB448" s="70" t="s">
        <v>426</v>
      </c>
      <c r="AC448" s="70">
        <v>2028</v>
      </c>
      <c r="AD448" s="70">
        <v>2028</v>
      </c>
    </row>
    <row r="449" spans="1:30" x14ac:dyDescent="0.3">
      <c r="A449">
        <v>1</v>
      </c>
      <c r="B449" s="68">
        <f>SUBTOTAL(9,$A$341:A449)</f>
        <v>96</v>
      </c>
      <c r="C449" s="73" t="s">
        <v>673</v>
      </c>
      <c r="D449" s="79" t="s">
        <v>617</v>
      </c>
      <c r="E449" s="65">
        <f t="shared" si="143"/>
        <v>3645971.35</v>
      </c>
      <c r="F449" s="77">
        <v>0</v>
      </c>
      <c r="G449" s="77">
        <v>0</v>
      </c>
      <c r="H449" s="77">
        <v>0</v>
      </c>
      <c r="I449" s="77">
        <v>0</v>
      </c>
      <c r="J449" s="77">
        <v>0</v>
      </c>
      <c r="K449" s="77">
        <v>0</v>
      </c>
      <c r="L449" s="155">
        <v>0</v>
      </c>
      <c r="M449" s="77">
        <v>0</v>
      </c>
      <c r="N449" s="90">
        <v>500</v>
      </c>
      <c r="O449" s="72">
        <v>3592090</v>
      </c>
      <c r="P449" s="77">
        <v>0</v>
      </c>
      <c r="Q449" s="77">
        <v>0</v>
      </c>
      <c r="R449" s="77">
        <v>0</v>
      </c>
      <c r="S449" s="77">
        <v>0</v>
      </c>
      <c r="T449" s="77">
        <v>0</v>
      </c>
      <c r="U449" s="77">
        <v>0</v>
      </c>
      <c r="V449" s="77">
        <v>0</v>
      </c>
      <c r="W449" s="77">
        <v>0</v>
      </c>
      <c r="X449" s="77">
        <v>0</v>
      </c>
      <c r="Y449" s="77">
        <v>0</v>
      </c>
      <c r="Z449" s="77">
        <f t="shared" si="144"/>
        <v>53881.35</v>
      </c>
      <c r="AA449" s="77">
        <v>0</v>
      </c>
      <c r="AB449" s="70" t="s">
        <v>426</v>
      </c>
      <c r="AC449" s="70">
        <v>2028</v>
      </c>
      <c r="AD449" s="70">
        <v>2028</v>
      </c>
    </row>
    <row r="450" spans="1:30" x14ac:dyDescent="0.3">
      <c r="A450">
        <v>1</v>
      </c>
      <c r="B450" s="68">
        <f>SUBTOTAL(9,$A$341:A450)</f>
        <v>97</v>
      </c>
      <c r="C450" s="73" t="s">
        <v>674</v>
      </c>
      <c r="D450" s="79" t="s">
        <v>617</v>
      </c>
      <c r="E450" s="65">
        <f t="shared" si="143"/>
        <v>8283648.4500000002</v>
      </c>
      <c r="F450" s="77">
        <v>0</v>
      </c>
      <c r="G450" s="77">
        <v>0</v>
      </c>
      <c r="H450" s="77">
        <v>0</v>
      </c>
      <c r="I450" s="77">
        <v>0</v>
      </c>
      <c r="J450" s="77">
        <v>0</v>
      </c>
      <c r="K450" s="77">
        <v>0</v>
      </c>
      <c r="L450" s="155">
        <v>0</v>
      </c>
      <c r="M450" s="77">
        <v>0</v>
      </c>
      <c r="N450" s="90">
        <v>912</v>
      </c>
      <c r="O450" s="72">
        <v>8161230</v>
      </c>
      <c r="P450" s="77">
        <v>0</v>
      </c>
      <c r="Q450" s="77">
        <v>0</v>
      </c>
      <c r="R450" s="77">
        <v>0</v>
      </c>
      <c r="S450" s="77">
        <v>0</v>
      </c>
      <c r="T450" s="77">
        <v>0</v>
      </c>
      <c r="U450" s="77">
        <v>0</v>
      </c>
      <c r="V450" s="77">
        <v>0</v>
      </c>
      <c r="W450" s="77">
        <v>0</v>
      </c>
      <c r="X450" s="77">
        <v>0</v>
      </c>
      <c r="Y450" s="77">
        <v>0</v>
      </c>
      <c r="Z450" s="77">
        <f t="shared" si="144"/>
        <v>122418.45</v>
      </c>
      <c r="AA450" s="77">
        <v>0</v>
      </c>
      <c r="AB450" s="70" t="s">
        <v>426</v>
      </c>
      <c r="AC450" s="70">
        <v>2028</v>
      </c>
      <c r="AD450" s="70">
        <v>2028</v>
      </c>
    </row>
    <row r="451" spans="1:30" x14ac:dyDescent="0.3">
      <c r="B451" s="62" t="s">
        <v>222</v>
      </c>
      <c r="C451" s="62"/>
      <c r="D451" s="86"/>
      <c r="E451" s="5">
        <f>E452</f>
        <v>14453477.609999999</v>
      </c>
      <c r="F451" s="77">
        <f t="shared" ref="F451:AA451" si="145">F452</f>
        <v>0</v>
      </c>
      <c r="G451" s="77">
        <f t="shared" si="145"/>
        <v>0</v>
      </c>
      <c r="H451" s="77">
        <f t="shared" si="145"/>
        <v>0</v>
      </c>
      <c r="I451" s="77">
        <f t="shared" si="145"/>
        <v>0</v>
      </c>
      <c r="J451" s="77">
        <f t="shared" si="145"/>
        <v>0</v>
      </c>
      <c r="K451" s="77">
        <f t="shared" si="145"/>
        <v>0</v>
      </c>
      <c r="L451" s="155">
        <f t="shared" si="145"/>
        <v>0</v>
      </c>
      <c r="M451" s="77">
        <f t="shared" si="145"/>
        <v>0</v>
      </c>
      <c r="N451" s="77">
        <f t="shared" si="145"/>
        <v>1177</v>
      </c>
      <c r="O451" s="77">
        <f t="shared" si="145"/>
        <v>14042835.08</v>
      </c>
      <c r="P451" s="77">
        <f t="shared" si="145"/>
        <v>0</v>
      </c>
      <c r="Q451" s="77">
        <f t="shared" si="145"/>
        <v>0</v>
      </c>
      <c r="R451" s="77">
        <f t="shared" si="145"/>
        <v>0</v>
      </c>
      <c r="S451" s="77">
        <f t="shared" si="145"/>
        <v>0</v>
      </c>
      <c r="T451" s="77">
        <f t="shared" si="145"/>
        <v>0</v>
      </c>
      <c r="U451" s="77">
        <f t="shared" si="145"/>
        <v>0</v>
      </c>
      <c r="V451" s="77">
        <f t="shared" si="145"/>
        <v>0</v>
      </c>
      <c r="W451" s="77">
        <f t="shared" si="145"/>
        <v>0</v>
      </c>
      <c r="X451" s="77">
        <f t="shared" si="145"/>
        <v>0</v>
      </c>
      <c r="Y451" s="77">
        <f t="shared" si="145"/>
        <v>200000</v>
      </c>
      <c r="Z451" s="77">
        <f t="shared" si="145"/>
        <v>210642.53</v>
      </c>
      <c r="AA451" s="77">
        <f t="shared" si="145"/>
        <v>0</v>
      </c>
      <c r="AB451" s="66" t="s">
        <v>423</v>
      </c>
      <c r="AC451" s="66" t="s">
        <v>423</v>
      </c>
      <c r="AD451" s="66" t="s">
        <v>423</v>
      </c>
    </row>
    <row r="452" spans="1:30" x14ac:dyDescent="0.3">
      <c r="A452">
        <v>1</v>
      </c>
      <c r="B452" s="68">
        <f>SUBTOTAL(9,$A$341:A452)</f>
        <v>98</v>
      </c>
      <c r="C452" s="73" t="s">
        <v>221</v>
      </c>
      <c r="D452" s="79" t="s">
        <v>618</v>
      </c>
      <c r="E452" s="65">
        <f>F452+G452+H452+I452+J452+K452+M452+O452+Q452+S452+U452+V452+W452+X452+Z452+AA452+Y452</f>
        <v>14453477.609999999</v>
      </c>
      <c r="F452" s="77">
        <v>0</v>
      </c>
      <c r="G452" s="77">
        <v>0</v>
      </c>
      <c r="H452" s="77">
        <v>0</v>
      </c>
      <c r="I452" s="77">
        <v>0</v>
      </c>
      <c r="J452" s="77">
        <v>0</v>
      </c>
      <c r="K452" s="77">
        <v>0</v>
      </c>
      <c r="L452" s="155">
        <v>0</v>
      </c>
      <c r="M452" s="77">
        <v>0</v>
      </c>
      <c r="N452" s="90">
        <v>1177</v>
      </c>
      <c r="O452" s="72">
        <v>14042835.08</v>
      </c>
      <c r="P452" s="77">
        <v>0</v>
      </c>
      <c r="Q452" s="77">
        <v>0</v>
      </c>
      <c r="R452" s="77">
        <v>0</v>
      </c>
      <c r="S452" s="77">
        <v>0</v>
      </c>
      <c r="T452" s="77">
        <v>0</v>
      </c>
      <c r="U452" s="77">
        <v>0</v>
      </c>
      <c r="V452" s="77">
        <v>0</v>
      </c>
      <c r="W452" s="77">
        <v>0</v>
      </c>
      <c r="X452" s="77">
        <v>0</v>
      </c>
      <c r="Y452" s="77">
        <v>200000</v>
      </c>
      <c r="Z452" s="77">
        <f>ROUND(O452*1.5%,2)</f>
        <v>210642.53</v>
      </c>
      <c r="AA452" s="77">
        <v>0</v>
      </c>
      <c r="AB452" s="70">
        <v>2028</v>
      </c>
      <c r="AC452" s="70">
        <v>2028</v>
      </c>
      <c r="AD452" s="70">
        <v>2028</v>
      </c>
    </row>
    <row r="453" spans="1:30" x14ac:dyDescent="0.3">
      <c r="B453" s="67" t="s">
        <v>697</v>
      </c>
      <c r="C453" s="67"/>
      <c r="D453" s="87"/>
      <c r="E453" s="72">
        <f>SUM(E454:E458)</f>
        <v>42707353.960000001</v>
      </c>
      <c r="F453" s="72">
        <f t="shared" ref="F453:AA453" si="146">SUM(F454:F458)</f>
        <v>0</v>
      </c>
      <c r="G453" s="72">
        <f t="shared" si="146"/>
        <v>0</v>
      </c>
      <c r="H453" s="72">
        <f t="shared" si="146"/>
        <v>0</v>
      </c>
      <c r="I453" s="72">
        <f t="shared" si="146"/>
        <v>0</v>
      </c>
      <c r="J453" s="72">
        <f t="shared" si="146"/>
        <v>0</v>
      </c>
      <c r="K453" s="72">
        <f t="shared" si="146"/>
        <v>0</v>
      </c>
      <c r="L453" s="155">
        <f t="shared" si="146"/>
        <v>0</v>
      </c>
      <c r="M453" s="72">
        <f t="shared" si="146"/>
        <v>0</v>
      </c>
      <c r="N453" s="72">
        <f t="shared" si="146"/>
        <v>2756.01</v>
      </c>
      <c r="O453" s="72">
        <f t="shared" si="146"/>
        <v>33681618.480000004</v>
      </c>
      <c r="P453" s="72">
        <f t="shared" si="146"/>
        <v>0</v>
      </c>
      <c r="Q453" s="72">
        <f t="shared" si="146"/>
        <v>0</v>
      </c>
      <c r="R453" s="72">
        <f t="shared" si="146"/>
        <v>0</v>
      </c>
      <c r="S453" s="72">
        <f t="shared" si="146"/>
        <v>0</v>
      </c>
      <c r="T453" s="72">
        <f t="shared" si="146"/>
        <v>0</v>
      </c>
      <c r="U453" s="72">
        <f t="shared" si="146"/>
        <v>0</v>
      </c>
      <c r="V453" s="72">
        <f t="shared" si="146"/>
        <v>7409370.6399999997</v>
      </c>
      <c r="W453" s="72">
        <f t="shared" si="146"/>
        <v>0</v>
      </c>
      <c r="X453" s="72">
        <f t="shared" si="146"/>
        <v>0</v>
      </c>
      <c r="Y453" s="72">
        <f t="shared" si="146"/>
        <v>1000000</v>
      </c>
      <c r="Z453" s="72">
        <f t="shared" si="146"/>
        <v>616364.84000000008</v>
      </c>
      <c r="AA453" s="72">
        <f t="shared" si="146"/>
        <v>0</v>
      </c>
      <c r="AB453" s="66" t="s">
        <v>423</v>
      </c>
      <c r="AC453" s="66" t="s">
        <v>423</v>
      </c>
      <c r="AD453" s="66" t="s">
        <v>423</v>
      </c>
    </row>
    <row r="454" spans="1:30" x14ac:dyDescent="0.3">
      <c r="A454">
        <v>1</v>
      </c>
      <c r="B454" s="68">
        <f>SUBTOTAL(9,$A$341:A454)</f>
        <v>99</v>
      </c>
      <c r="C454" s="73" t="s">
        <v>288</v>
      </c>
      <c r="D454" s="79" t="s">
        <v>619</v>
      </c>
      <c r="E454" s="65">
        <f>F454+G454+H454+I454+J454+K454+M454+O454+Q454+S454+U454+V454+W454+X454+Z454+AA454+Y454</f>
        <v>7720511.1999999993</v>
      </c>
      <c r="F454" s="91">
        <v>0</v>
      </c>
      <c r="G454" s="91">
        <v>0</v>
      </c>
      <c r="H454" s="91">
        <v>0</v>
      </c>
      <c r="I454" s="91">
        <v>0</v>
      </c>
      <c r="J454" s="91">
        <v>0</v>
      </c>
      <c r="K454" s="91">
        <v>0</v>
      </c>
      <c r="L454" s="157">
        <v>0</v>
      </c>
      <c r="M454" s="91">
        <v>0</v>
      </c>
      <c r="N454" s="72">
        <v>0</v>
      </c>
      <c r="O454" s="72">
        <v>0</v>
      </c>
      <c r="P454" s="91">
        <v>0</v>
      </c>
      <c r="Q454" s="91">
        <v>0</v>
      </c>
      <c r="R454" s="91">
        <v>0</v>
      </c>
      <c r="S454" s="91">
        <v>0</v>
      </c>
      <c r="T454" s="77">
        <v>0</v>
      </c>
      <c r="U454" s="77">
        <v>0</v>
      </c>
      <c r="V454" s="72">
        <v>7409370.6399999997</v>
      </c>
      <c r="W454" s="77">
        <v>0</v>
      </c>
      <c r="X454" s="77">
        <v>0</v>
      </c>
      <c r="Y454" s="77">
        <v>200000</v>
      </c>
      <c r="Z454" s="77">
        <f>ROUND(V454*1.5%,2)</f>
        <v>111140.56</v>
      </c>
      <c r="AA454" s="77">
        <v>0</v>
      </c>
      <c r="AB454" s="70">
        <v>2028</v>
      </c>
      <c r="AC454" s="70">
        <v>2028</v>
      </c>
      <c r="AD454" s="70">
        <v>2028</v>
      </c>
    </row>
    <row r="455" spans="1:30" x14ac:dyDescent="0.3">
      <c r="A455">
        <v>1</v>
      </c>
      <c r="B455" s="68">
        <f>SUBTOTAL(9,$A$341:A455)</f>
        <v>100</v>
      </c>
      <c r="C455" s="73" t="s">
        <v>289</v>
      </c>
      <c r="D455" s="79" t="s">
        <v>619</v>
      </c>
      <c r="E455" s="65">
        <f t="shared" ref="E455:E458" si="147">F455+G455+H455+I455+J455+K455+M455+O455+Q455+S455+U455+V455+W455+X455+Z455+AA455+Y455</f>
        <v>8100747.6699999999</v>
      </c>
      <c r="F455" s="91">
        <v>0</v>
      </c>
      <c r="G455" s="91">
        <v>0</v>
      </c>
      <c r="H455" s="91">
        <v>0</v>
      </c>
      <c r="I455" s="91">
        <v>0</v>
      </c>
      <c r="J455" s="91">
        <v>0</v>
      </c>
      <c r="K455" s="91">
        <v>0</v>
      </c>
      <c r="L455" s="157">
        <v>0</v>
      </c>
      <c r="M455" s="91">
        <v>0</v>
      </c>
      <c r="N455" s="72">
        <v>638.13</v>
      </c>
      <c r="O455" s="72">
        <v>7783987.8499999996</v>
      </c>
      <c r="P455" s="91">
        <v>0</v>
      </c>
      <c r="Q455" s="91">
        <v>0</v>
      </c>
      <c r="R455" s="91">
        <v>0</v>
      </c>
      <c r="S455" s="91">
        <v>0</v>
      </c>
      <c r="T455" s="77">
        <v>0</v>
      </c>
      <c r="U455" s="77">
        <v>0</v>
      </c>
      <c r="V455" s="77">
        <v>0</v>
      </c>
      <c r="W455" s="77">
        <v>0</v>
      </c>
      <c r="X455" s="77">
        <v>0</v>
      </c>
      <c r="Y455" s="77">
        <v>200000</v>
      </c>
      <c r="Z455" s="77">
        <f t="shared" ref="Z455:Z458" si="148">ROUND(O455*1.5%,2)</f>
        <v>116759.82</v>
      </c>
      <c r="AA455" s="77">
        <v>0</v>
      </c>
      <c r="AB455" s="70">
        <v>2028</v>
      </c>
      <c r="AC455" s="70">
        <v>2028</v>
      </c>
      <c r="AD455" s="70">
        <v>2028</v>
      </c>
    </row>
    <row r="456" spans="1:30" x14ac:dyDescent="0.3">
      <c r="A456">
        <v>1</v>
      </c>
      <c r="B456" s="68">
        <f>SUBTOTAL(9,$A$341:A456)</f>
        <v>101</v>
      </c>
      <c r="C456" s="73" t="s">
        <v>290</v>
      </c>
      <c r="D456" s="79" t="s">
        <v>619</v>
      </c>
      <c r="E456" s="65">
        <f t="shared" si="147"/>
        <v>8204473.3399999999</v>
      </c>
      <c r="F456" s="91">
        <v>0</v>
      </c>
      <c r="G456" s="91">
        <v>0</v>
      </c>
      <c r="H456" s="91">
        <v>0</v>
      </c>
      <c r="I456" s="91">
        <v>0</v>
      </c>
      <c r="J456" s="91">
        <v>0</v>
      </c>
      <c r="K456" s="91">
        <v>0</v>
      </c>
      <c r="L456" s="157">
        <v>0</v>
      </c>
      <c r="M456" s="91">
        <v>0</v>
      </c>
      <c r="N456" s="72">
        <v>646.25</v>
      </c>
      <c r="O456" s="72">
        <v>7886180.6299999999</v>
      </c>
      <c r="P456" s="91">
        <v>0</v>
      </c>
      <c r="Q456" s="91">
        <v>0</v>
      </c>
      <c r="R456" s="91">
        <v>0</v>
      </c>
      <c r="S456" s="91">
        <v>0</v>
      </c>
      <c r="T456" s="77">
        <v>0</v>
      </c>
      <c r="U456" s="77">
        <v>0</v>
      </c>
      <c r="V456" s="77">
        <v>0</v>
      </c>
      <c r="W456" s="77">
        <v>0</v>
      </c>
      <c r="X456" s="77">
        <v>0</v>
      </c>
      <c r="Y456" s="77">
        <v>200000</v>
      </c>
      <c r="Z456" s="77">
        <f t="shared" si="148"/>
        <v>118292.71</v>
      </c>
      <c r="AA456" s="77">
        <v>0</v>
      </c>
      <c r="AB456" s="70">
        <v>2028</v>
      </c>
      <c r="AC456" s="70">
        <v>2028</v>
      </c>
      <c r="AD456" s="70">
        <v>2028</v>
      </c>
    </row>
    <row r="457" spans="1:30" x14ac:dyDescent="0.3">
      <c r="A457">
        <v>1</v>
      </c>
      <c r="B457" s="68">
        <f>SUBTOTAL(9,$A$341:A457)</f>
        <v>102</v>
      </c>
      <c r="C457" s="73" t="s">
        <v>291</v>
      </c>
      <c r="D457" s="79" t="s">
        <v>619</v>
      </c>
      <c r="E457" s="65">
        <f t="shared" si="147"/>
        <v>8911546.0200000014</v>
      </c>
      <c r="F457" s="77">
        <v>0</v>
      </c>
      <c r="G457" s="77">
        <v>0</v>
      </c>
      <c r="H457" s="77">
        <v>0</v>
      </c>
      <c r="I457" s="77">
        <v>0</v>
      </c>
      <c r="J457" s="77">
        <v>0</v>
      </c>
      <c r="K457" s="77">
        <v>0</v>
      </c>
      <c r="L457" s="155">
        <v>0</v>
      </c>
      <c r="M457" s="77">
        <v>0</v>
      </c>
      <c r="N457" s="77">
        <v>702</v>
      </c>
      <c r="O457" s="72">
        <v>8582803.9600000009</v>
      </c>
      <c r="P457" s="77">
        <v>0</v>
      </c>
      <c r="Q457" s="77">
        <v>0</v>
      </c>
      <c r="R457" s="77">
        <v>0</v>
      </c>
      <c r="S457" s="77">
        <v>0</v>
      </c>
      <c r="T457" s="77">
        <v>0</v>
      </c>
      <c r="U457" s="77">
        <v>0</v>
      </c>
      <c r="V457" s="77">
        <v>0</v>
      </c>
      <c r="W457" s="77">
        <v>0</v>
      </c>
      <c r="X457" s="77">
        <v>0</v>
      </c>
      <c r="Y457" s="77">
        <v>200000</v>
      </c>
      <c r="Z457" s="77">
        <f t="shared" si="148"/>
        <v>128742.06</v>
      </c>
      <c r="AA457" s="77">
        <v>0</v>
      </c>
      <c r="AB457" s="70">
        <v>2028</v>
      </c>
      <c r="AC457" s="70">
        <v>2028</v>
      </c>
      <c r="AD457" s="70">
        <v>2028</v>
      </c>
    </row>
    <row r="458" spans="1:30" x14ac:dyDescent="0.3">
      <c r="A458">
        <v>1</v>
      </c>
      <c r="B458" s="68">
        <f>SUBTOTAL(9,$A$341:A458)</f>
        <v>103</v>
      </c>
      <c r="C458" s="73" t="s">
        <v>292</v>
      </c>
      <c r="D458" s="79" t="s">
        <v>619</v>
      </c>
      <c r="E458" s="65">
        <f t="shared" si="147"/>
        <v>9770075.7299999986</v>
      </c>
      <c r="F458" s="91">
        <v>0</v>
      </c>
      <c r="G458" s="91">
        <v>0</v>
      </c>
      <c r="H458" s="91">
        <v>0</v>
      </c>
      <c r="I458" s="91">
        <v>0</v>
      </c>
      <c r="J458" s="91">
        <v>0</v>
      </c>
      <c r="K458" s="91">
        <v>0</v>
      </c>
      <c r="L458" s="157">
        <v>0</v>
      </c>
      <c r="M458" s="91">
        <v>0</v>
      </c>
      <c r="N458" s="72">
        <v>769.63</v>
      </c>
      <c r="O458" s="72">
        <v>9428646.0399999991</v>
      </c>
      <c r="P458" s="91">
        <v>0</v>
      </c>
      <c r="Q458" s="91">
        <v>0</v>
      </c>
      <c r="R458" s="91">
        <v>0</v>
      </c>
      <c r="S458" s="91">
        <v>0</v>
      </c>
      <c r="T458" s="77">
        <v>0</v>
      </c>
      <c r="U458" s="77">
        <v>0</v>
      </c>
      <c r="V458" s="77">
        <v>0</v>
      </c>
      <c r="W458" s="77">
        <v>0</v>
      </c>
      <c r="X458" s="77">
        <v>0</v>
      </c>
      <c r="Y458" s="77">
        <v>200000</v>
      </c>
      <c r="Z458" s="77">
        <f t="shared" si="148"/>
        <v>141429.69</v>
      </c>
      <c r="AA458" s="77">
        <v>0</v>
      </c>
      <c r="AB458" s="70">
        <v>2028</v>
      </c>
      <c r="AC458" s="70">
        <v>2028</v>
      </c>
      <c r="AD458" s="70">
        <v>2028</v>
      </c>
    </row>
    <row r="459" spans="1:30" x14ac:dyDescent="0.3">
      <c r="B459" s="67" t="s">
        <v>698</v>
      </c>
      <c r="C459" s="67"/>
      <c r="D459" s="87"/>
      <c r="E459" s="72">
        <f>SUM(E460:E462)</f>
        <v>48109009.640000001</v>
      </c>
      <c r="F459" s="72">
        <f t="shared" ref="F459:AA459" si="149">SUM(F460:F462)</f>
        <v>0</v>
      </c>
      <c r="G459" s="72">
        <f t="shared" si="149"/>
        <v>0</v>
      </c>
      <c r="H459" s="72">
        <f t="shared" si="149"/>
        <v>0</v>
      </c>
      <c r="I459" s="72">
        <f t="shared" si="149"/>
        <v>0</v>
      </c>
      <c r="J459" s="72">
        <f t="shared" si="149"/>
        <v>0</v>
      </c>
      <c r="K459" s="72">
        <f t="shared" si="149"/>
        <v>0</v>
      </c>
      <c r="L459" s="155">
        <f t="shared" si="149"/>
        <v>0</v>
      </c>
      <c r="M459" s="72">
        <f t="shared" si="149"/>
        <v>0</v>
      </c>
      <c r="N459" s="72">
        <f t="shared" si="149"/>
        <v>3789.75</v>
      </c>
      <c r="O459" s="72">
        <f t="shared" si="149"/>
        <v>46708383.879999995</v>
      </c>
      <c r="P459" s="72">
        <f t="shared" si="149"/>
        <v>0</v>
      </c>
      <c r="Q459" s="72">
        <f t="shared" si="149"/>
        <v>0</v>
      </c>
      <c r="R459" s="72">
        <f t="shared" si="149"/>
        <v>0</v>
      </c>
      <c r="S459" s="72">
        <f t="shared" si="149"/>
        <v>0</v>
      </c>
      <c r="T459" s="72">
        <f t="shared" si="149"/>
        <v>0</v>
      </c>
      <c r="U459" s="72">
        <f t="shared" si="149"/>
        <v>0</v>
      </c>
      <c r="V459" s="72">
        <f t="shared" si="149"/>
        <v>0</v>
      </c>
      <c r="W459" s="72">
        <f t="shared" si="149"/>
        <v>0</v>
      </c>
      <c r="X459" s="72">
        <f t="shared" si="149"/>
        <v>0</v>
      </c>
      <c r="Y459" s="72">
        <f t="shared" si="149"/>
        <v>700000</v>
      </c>
      <c r="Z459" s="72">
        <f t="shared" si="149"/>
        <v>700625.75999999989</v>
      </c>
      <c r="AA459" s="72">
        <f t="shared" si="149"/>
        <v>0</v>
      </c>
      <c r="AB459" s="66" t="s">
        <v>423</v>
      </c>
      <c r="AC459" s="66" t="s">
        <v>423</v>
      </c>
      <c r="AD459" s="66" t="s">
        <v>423</v>
      </c>
    </row>
    <row r="460" spans="1:30" x14ac:dyDescent="0.3">
      <c r="A460">
        <v>1</v>
      </c>
      <c r="B460" s="68">
        <f>SUBTOTAL(9,$A$341:A460)</f>
        <v>104</v>
      </c>
      <c r="C460" s="73" t="s">
        <v>293</v>
      </c>
      <c r="D460" s="79" t="s">
        <v>619</v>
      </c>
      <c r="E460" s="65">
        <f>F460+G460+H460+I460+J460+K460+M460+O460+Q460+S460+U460+V460+W460+X460+Z460+AA460+Y460</f>
        <v>19765352.07</v>
      </c>
      <c r="F460" s="91">
        <v>0</v>
      </c>
      <c r="G460" s="91">
        <v>0</v>
      </c>
      <c r="H460" s="91">
        <v>0</v>
      </c>
      <c r="I460" s="91">
        <v>0</v>
      </c>
      <c r="J460" s="91">
        <v>0</v>
      </c>
      <c r="K460" s="91">
        <v>0</v>
      </c>
      <c r="L460" s="157">
        <v>0</v>
      </c>
      <c r="M460" s="91">
        <v>0</v>
      </c>
      <c r="N460" s="72">
        <v>1557</v>
      </c>
      <c r="O460" s="72">
        <v>19226947.850000001</v>
      </c>
      <c r="P460" s="91">
        <v>0</v>
      </c>
      <c r="Q460" s="91">
        <v>0</v>
      </c>
      <c r="R460" s="91">
        <v>0</v>
      </c>
      <c r="S460" s="91">
        <v>0</v>
      </c>
      <c r="T460" s="77">
        <v>0</v>
      </c>
      <c r="U460" s="77">
        <v>0</v>
      </c>
      <c r="V460" s="77">
        <v>0</v>
      </c>
      <c r="W460" s="77">
        <v>0</v>
      </c>
      <c r="X460" s="77">
        <v>0</v>
      </c>
      <c r="Y460" s="77">
        <v>250000</v>
      </c>
      <c r="Z460" s="77">
        <f>ROUND(O460*1.5%,2)</f>
        <v>288404.21999999997</v>
      </c>
      <c r="AA460" s="77">
        <v>0</v>
      </c>
      <c r="AB460" s="70">
        <v>2028</v>
      </c>
      <c r="AC460" s="70">
        <v>2028</v>
      </c>
      <c r="AD460" s="70">
        <v>2028</v>
      </c>
    </row>
    <row r="461" spans="1:30" x14ac:dyDescent="0.3">
      <c r="A461">
        <v>1</v>
      </c>
      <c r="B461" s="68">
        <f>SUBTOTAL(9,$A$341:A461)</f>
        <v>105</v>
      </c>
      <c r="C461" s="73" t="s">
        <v>294</v>
      </c>
      <c r="D461" s="79" t="s">
        <v>619</v>
      </c>
      <c r="E461" s="65">
        <f>F461+G461+H461+I461+J461+K461+M461+O461+Q461+S461+U461+V461+W461+X461+Z461+AA461+Y461</f>
        <v>21123655</v>
      </c>
      <c r="F461" s="91">
        <v>0</v>
      </c>
      <c r="G461" s="91">
        <v>0</v>
      </c>
      <c r="H461" s="91">
        <v>0</v>
      </c>
      <c r="I461" s="91">
        <v>0</v>
      </c>
      <c r="J461" s="91">
        <v>0</v>
      </c>
      <c r="K461" s="91">
        <v>0</v>
      </c>
      <c r="L461" s="157">
        <v>0</v>
      </c>
      <c r="M461" s="91">
        <v>0</v>
      </c>
      <c r="N461" s="72">
        <v>1664</v>
      </c>
      <c r="O461" s="72">
        <v>20565177.34</v>
      </c>
      <c r="P461" s="91">
        <v>0</v>
      </c>
      <c r="Q461" s="91">
        <v>0</v>
      </c>
      <c r="R461" s="91">
        <v>0</v>
      </c>
      <c r="S461" s="91">
        <v>0</v>
      </c>
      <c r="T461" s="77">
        <v>0</v>
      </c>
      <c r="U461" s="77">
        <v>0</v>
      </c>
      <c r="V461" s="77">
        <v>0</v>
      </c>
      <c r="W461" s="77">
        <v>0</v>
      </c>
      <c r="X461" s="77">
        <v>0</v>
      </c>
      <c r="Y461" s="77">
        <v>250000</v>
      </c>
      <c r="Z461" s="77">
        <f>ROUND(O461*1.5%,2)</f>
        <v>308477.65999999997</v>
      </c>
      <c r="AA461" s="77">
        <v>0</v>
      </c>
      <c r="AB461" s="70">
        <v>2028</v>
      </c>
      <c r="AC461" s="70">
        <v>2028</v>
      </c>
      <c r="AD461" s="70">
        <v>2028</v>
      </c>
    </row>
    <row r="462" spans="1:30" x14ac:dyDescent="0.3">
      <c r="A462">
        <v>1</v>
      </c>
      <c r="B462" s="68">
        <f>SUBTOTAL(9,$A$341:A462)</f>
        <v>106</v>
      </c>
      <c r="C462" s="73" t="s">
        <v>295</v>
      </c>
      <c r="D462" s="79" t="s">
        <v>619</v>
      </c>
      <c r="E462" s="65">
        <f>F462+G462+H462+I462+J462+K462+M462+O462+Q462+S462+U462+V462+W462+X462+Z462+AA462+Y462</f>
        <v>7220002.5700000003</v>
      </c>
      <c r="F462" s="91">
        <v>0</v>
      </c>
      <c r="G462" s="91">
        <v>0</v>
      </c>
      <c r="H462" s="91">
        <v>0</v>
      </c>
      <c r="I462" s="91">
        <v>0</v>
      </c>
      <c r="J462" s="91">
        <v>0</v>
      </c>
      <c r="K462" s="91">
        <v>0</v>
      </c>
      <c r="L462" s="157">
        <v>0</v>
      </c>
      <c r="M462" s="91">
        <v>0</v>
      </c>
      <c r="N462" s="72">
        <v>568.75</v>
      </c>
      <c r="O462" s="72">
        <v>6916258.6900000004</v>
      </c>
      <c r="P462" s="91">
        <v>0</v>
      </c>
      <c r="Q462" s="91">
        <v>0</v>
      </c>
      <c r="R462" s="91">
        <v>0</v>
      </c>
      <c r="S462" s="91">
        <v>0</v>
      </c>
      <c r="T462" s="77">
        <v>0</v>
      </c>
      <c r="U462" s="77">
        <v>0</v>
      </c>
      <c r="V462" s="77">
        <v>0</v>
      </c>
      <c r="W462" s="77">
        <v>0</v>
      </c>
      <c r="X462" s="77">
        <v>0</v>
      </c>
      <c r="Y462" s="77">
        <v>200000</v>
      </c>
      <c r="Z462" s="77">
        <f>ROUND(O462*1.5%,2)</f>
        <v>103743.88</v>
      </c>
      <c r="AA462" s="77">
        <v>0</v>
      </c>
      <c r="AB462" s="70">
        <v>2028</v>
      </c>
      <c r="AC462" s="70">
        <v>2028</v>
      </c>
      <c r="AD462" s="70">
        <v>2028</v>
      </c>
    </row>
    <row r="463" spans="1:30" x14ac:dyDescent="0.3">
      <c r="B463" s="62" t="s">
        <v>690</v>
      </c>
      <c r="C463" s="62"/>
      <c r="D463" s="86"/>
      <c r="E463" s="5">
        <f>E464</f>
        <v>12022272.17</v>
      </c>
      <c r="F463" s="77">
        <f t="shared" ref="F463:AA463" si="150">F464</f>
        <v>0</v>
      </c>
      <c r="G463" s="77">
        <f t="shared" si="150"/>
        <v>0</v>
      </c>
      <c r="H463" s="77">
        <f t="shared" si="150"/>
        <v>0</v>
      </c>
      <c r="I463" s="77">
        <f t="shared" si="150"/>
        <v>0</v>
      </c>
      <c r="J463" s="77">
        <f t="shared" si="150"/>
        <v>0</v>
      </c>
      <c r="K463" s="77">
        <f t="shared" si="150"/>
        <v>0</v>
      </c>
      <c r="L463" s="155">
        <f t="shared" si="150"/>
        <v>0</v>
      </c>
      <c r="M463" s="77">
        <f t="shared" si="150"/>
        <v>0</v>
      </c>
      <c r="N463" s="77">
        <f t="shared" si="150"/>
        <v>980</v>
      </c>
      <c r="O463" s="77">
        <f t="shared" si="150"/>
        <v>11647558.789999999</v>
      </c>
      <c r="P463" s="77">
        <f t="shared" si="150"/>
        <v>0</v>
      </c>
      <c r="Q463" s="77">
        <f t="shared" si="150"/>
        <v>0</v>
      </c>
      <c r="R463" s="77">
        <f t="shared" si="150"/>
        <v>0</v>
      </c>
      <c r="S463" s="77">
        <f t="shared" si="150"/>
        <v>0</v>
      </c>
      <c r="T463" s="77">
        <f t="shared" si="150"/>
        <v>0</v>
      </c>
      <c r="U463" s="77">
        <f t="shared" si="150"/>
        <v>0</v>
      </c>
      <c r="V463" s="77">
        <f t="shared" si="150"/>
        <v>0</v>
      </c>
      <c r="W463" s="77">
        <f t="shared" si="150"/>
        <v>0</v>
      </c>
      <c r="X463" s="77">
        <f t="shared" si="150"/>
        <v>0</v>
      </c>
      <c r="Y463" s="77">
        <f t="shared" si="150"/>
        <v>200000</v>
      </c>
      <c r="Z463" s="77">
        <f t="shared" si="150"/>
        <v>174713.38</v>
      </c>
      <c r="AA463" s="77">
        <f t="shared" si="150"/>
        <v>0</v>
      </c>
      <c r="AB463" s="66" t="s">
        <v>423</v>
      </c>
      <c r="AC463" s="66" t="s">
        <v>423</v>
      </c>
      <c r="AD463" s="66" t="s">
        <v>423</v>
      </c>
    </row>
    <row r="464" spans="1:30" x14ac:dyDescent="0.3">
      <c r="A464">
        <v>1</v>
      </c>
      <c r="B464" s="68">
        <f>SUBTOTAL(9,$A$341:A464)</f>
        <v>107</v>
      </c>
      <c r="C464" s="73" t="s">
        <v>226</v>
      </c>
      <c r="D464" s="79" t="s">
        <v>620</v>
      </c>
      <c r="E464" s="72">
        <f t="shared" ref="E464" si="151">F464+G464+H464+I464+J464+K464+M464+O464+Q464+S464+U464+V464+W464+X464+Y464+Z464+AA464</f>
        <v>12022272.17</v>
      </c>
      <c r="F464" s="77">
        <v>0</v>
      </c>
      <c r="G464" s="77">
        <v>0</v>
      </c>
      <c r="H464" s="77">
        <v>0</v>
      </c>
      <c r="I464" s="77">
        <v>0</v>
      </c>
      <c r="J464" s="77">
        <v>0</v>
      </c>
      <c r="K464" s="77">
        <v>0</v>
      </c>
      <c r="L464" s="155">
        <v>0</v>
      </c>
      <c r="M464" s="77">
        <v>0</v>
      </c>
      <c r="N464" s="95">
        <v>980</v>
      </c>
      <c r="O464" s="95">
        <v>11647558.789999999</v>
      </c>
      <c r="P464" s="77">
        <v>0</v>
      </c>
      <c r="Q464" s="77">
        <v>0</v>
      </c>
      <c r="R464" s="77">
        <v>0</v>
      </c>
      <c r="S464" s="77">
        <v>0</v>
      </c>
      <c r="T464" s="77">
        <v>0</v>
      </c>
      <c r="U464" s="77">
        <v>0</v>
      </c>
      <c r="V464" s="77">
        <v>0</v>
      </c>
      <c r="W464" s="77">
        <v>0</v>
      </c>
      <c r="X464" s="77">
        <v>0</v>
      </c>
      <c r="Y464" s="95">
        <v>200000</v>
      </c>
      <c r="Z464" s="95">
        <f>ROUND(O464*1.5%,2)</f>
        <v>174713.38</v>
      </c>
      <c r="AA464" s="77">
        <v>0</v>
      </c>
      <c r="AB464" s="70">
        <v>2028</v>
      </c>
      <c r="AC464" s="70">
        <v>2028</v>
      </c>
      <c r="AD464" s="70">
        <v>2028</v>
      </c>
    </row>
    <row r="465" spans="1:30" x14ac:dyDescent="0.3">
      <c r="B465" s="62" t="s">
        <v>242</v>
      </c>
      <c r="C465" s="62"/>
      <c r="D465" s="86"/>
      <c r="E465" s="5">
        <f>SUM(E466:E470)</f>
        <v>53842195.050000004</v>
      </c>
      <c r="F465" s="77">
        <f t="shared" ref="F465:AA465" si="152">SUM(F466:F470)</f>
        <v>0</v>
      </c>
      <c r="G465" s="77">
        <f t="shared" si="152"/>
        <v>0</v>
      </c>
      <c r="H465" s="77">
        <f t="shared" si="152"/>
        <v>0</v>
      </c>
      <c r="I465" s="77">
        <f t="shared" si="152"/>
        <v>0</v>
      </c>
      <c r="J465" s="77">
        <f t="shared" si="152"/>
        <v>0</v>
      </c>
      <c r="K465" s="77">
        <f t="shared" si="152"/>
        <v>0</v>
      </c>
      <c r="L465" s="155">
        <f t="shared" si="152"/>
        <v>0</v>
      </c>
      <c r="M465" s="77">
        <f t="shared" si="152"/>
        <v>0</v>
      </c>
      <c r="N465" s="77">
        <f t="shared" si="152"/>
        <v>4386.6375900000003</v>
      </c>
      <c r="O465" s="77">
        <f t="shared" si="152"/>
        <v>52012014.819999993</v>
      </c>
      <c r="P465" s="77">
        <f t="shared" si="152"/>
        <v>0</v>
      </c>
      <c r="Q465" s="77">
        <f t="shared" si="152"/>
        <v>0</v>
      </c>
      <c r="R465" s="77">
        <f t="shared" si="152"/>
        <v>0</v>
      </c>
      <c r="S465" s="77">
        <f t="shared" si="152"/>
        <v>0</v>
      </c>
      <c r="T465" s="77">
        <f t="shared" si="152"/>
        <v>0</v>
      </c>
      <c r="U465" s="77">
        <f t="shared" si="152"/>
        <v>0</v>
      </c>
      <c r="V465" s="77">
        <f t="shared" si="152"/>
        <v>0</v>
      </c>
      <c r="W465" s="77">
        <f t="shared" si="152"/>
        <v>0</v>
      </c>
      <c r="X465" s="77">
        <f t="shared" si="152"/>
        <v>0</v>
      </c>
      <c r="Y465" s="77">
        <f t="shared" si="152"/>
        <v>1050000</v>
      </c>
      <c r="Z465" s="77">
        <f t="shared" si="152"/>
        <v>780180.23</v>
      </c>
      <c r="AA465" s="77">
        <f t="shared" si="152"/>
        <v>0</v>
      </c>
      <c r="AB465" s="66" t="s">
        <v>423</v>
      </c>
      <c r="AC465" s="66" t="s">
        <v>423</v>
      </c>
      <c r="AD465" s="66" t="s">
        <v>423</v>
      </c>
    </row>
    <row r="466" spans="1:30" x14ac:dyDescent="0.3">
      <c r="A466">
        <v>1</v>
      </c>
      <c r="B466" s="68">
        <f>SUBTOTAL(9,$A$341:A466)</f>
        <v>108</v>
      </c>
      <c r="C466" s="73" t="s">
        <v>237</v>
      </c>
      <c r="D466" s="79" t="s">
        <v>621</v>
      </c>
      <c r="E466" s="65">
        <f t="shared" ref="E466:E470" si="153">F466+G466+H466+I466+J466+K466+M466+O466+Q466+S466+U466+V466+W466+X466+Z466+AA466+Y466</f>
        <v>8518016.2100000009</v>
      </c>
      <c r="F466" s="77">
        <v>0</v>
      </c>
      <c r="G466" s="77">
        <v>0</v>
      </c>
      <c r="H466" s="77">
        <v>0</v>
      </c>
      <c r="I466" s="77">
        <v>0</v>
      </c>
      <c r="J466" s="77">
        <v>0</v>
      </c>
      <c r="K466" s="77">
        <v>0</v>
      </c>
      <c r="L466" s="155">
        <v>0</v>
      </c>
      <c r="M466" s="77">
        <v>0</v>
      </c>
      <c r="N466" s="95">
        <v>671</v>
      </c>
      <c r="O466" s="72">
        <v>8195089.8600000003</v>
      </c>
      <c r="P466" s="77">
        <v>0</v>
      </c>
      <c r="Q466" s="77">
        <v>0</v>
      </c>
      <c r="R466" s="77">
        <v>0</v>
      </c>
      <c r="S466" s="77">
        <v>0</v>
      </c>
      <c r="T466" s="77">
        <v>0</v>
      </c>
      <c r="U466" s="77">
        <v>0</v>
      </c>
      <c r="V466" s="77">
        <v>0</v>
      </c>
      <c r="W466" s="77">
        <v>0</v>
      </c>
      <c r="X466" s="77">
        <v>0</v>
      </c>
      <c r="Y466" s="77">
        <v>200000</v>
      </c>
      <c r="Z466" s="77">
        <f t="shared" ref="Z466:Z470" si="154">ROUND(O466*1.5%,2)</f>
        <v>122926.35</v>
      </c>
      <c r="AA466" s="77">
        <v>0</v>
      </c>
      <c r="AB466" s="70">
        <v>2028</v>
      </c>
      <c r="AC466" s="70">
        <v>2028</v>
      </c>
      <c r="AD466" s="70">
        <v>2028</v>
      </c>
    </row>
    <row r="467" spans="1:30" x14ac:dyDescent="0.3">
      <c r="A467">
        <v>1</v>
      </c>
      <c r="B467" s="68">
        <f>SUBTOTAL(9,$A$341:A467)</f>
        <v>109</v>
      </c>
      <c r="C467" s="73" t="s">
        <v>238</v>
      </c>
      <c r="D467" s="79" t="s">
        <v>621</v>
      </c>
      <c r="E467" s="65">
        <f t="shared" si="153"/>
        <v>7522766.6300000008</v>
      </c>
      <c r="F467" s="77">
        <v>0</v>
      </c>
      <c r="G467" s="77">
        <v>0</v>
      </c>
      <c r="H467" s="77">
        <v>0</v>
      </c>
      <c r="I467" s="77">
        <v>0</v>
      </c>
      <c r="J467" s="77">
        <v>0</v>
      </c>
      <c r="K467" s="77">
        <v>0</v>
      </c>
      <c r="L467" s="155">
        <v>0</v>
      </c>
      <c r="M467" s="77">
        <v>0</v>
      </c>
      <c r="N467" s="95">
        <v>592.6</v>
      </c>
      <c r="O467" s="72">
        <v>7214548.4000000004</v>
      </c>
      <c r="P467" s="77">
        <v>0</v>
      </c>
      <c r="Q467" s="77">
        <v>0</v>
      </c>
      <c r="R467" s="77">
        <v>0</v>
      </c>
      <c r="S467" s="77">
        <v>0</v>
      </c>
      <c r="T467" s="77">
        <v>0</v>
      </c>
      <c r="U467" s="77">
        <v>0</v>
      </c>
      <c r="V467" s="77">
        <v>0</v>
      </c>
      <c r="W467" s="77">
        <v>0</v>
      </c>
      <c r="X467" s="77">
        <v>0</v>
      </c>
      <c r="Y467" s="77">
        <v>200000</v>
      </c>
      <c r="Z467" s="77">
        <f t="shared" si="154"/>
        <v>108218.23</v>
      </c>
      <c r="AA467" s="77">
        <v>0</v>
      </c>
      <c r="AB467" s="70">
        <v>2028</v>
      </c>
      <c r="AC467" s="70">
        <v>2028</v>
      </c>
      <c r="AD467" s="70">
        <v>2028</v>
      </c>
    </row>
    <row r="468" spans="1:30" x14ac:dyDescent="0.3">
      <c r="A468">
        <v>1</v>
      </c>
      <c r="B468" s="68">
        <f>SUBTOTAL(9,$A$341:A468)</f>
        <v>110</v>
      </c>
      <c r="C468" s="73" t="s">
        <v>239</v>
      </c>
      <c r="D468" s="79" t="s">
        <v>621</v>
      </c>
      <c r="E468" s="65">
        <f t="shared" si="153"/>
        <v>13858352.5</v>
      </c>
      <c r="F468" s="77">
        <v>0</v>
      </c>
      <c r="G468" s="77">
        <v>0</v>
      </c>
      <c r="H468" s="77">
        <v>0</v>
      </c>
      <c r="I468" s="77">
        <v>0</v>
      </c>
      <c r="J468" s="77">
        <v>0</v>
      </c>
      <c r="K468" s="77">
        <v>0</v>
      </c>
      <c r="L468" s="155">
        <v>0</v>
      </c>
      <c r="M468" s="77">
        <v>0</v>
      </c>
      <c r="N468" s="95">
        <v>1150</v>
      </c>
      <c r="O468" s="72">
        <f>14407243.84-1000000</f>
        <v>13407243.84</v>
      </c>
      <c r="P468" s="77">
        <v>0</v>
      </c>
      <c r="Q468" s="77">
        <v>0</v>
      </c>
      <c r="R468" s="77">
        <v>0</v>
      </c>
      <c r="S468" s="77">
        <v>0</v>
      </c>
      <c r="T468" s="77">
        <v>0</v>
      </c>
      <c r="U468" s="77">
        <v>0</v>
      </c>
      <c r="V468" s="77">
        <v>0</v>
      </c>
      <c r="W468" s="77">
        <v>0</v>
      </c>
      <c r="X468" s="77">
        <v>0</v>
      </c>
      <c r="Y468" s="77">
        <v>250000</v>
      </c>
      <c r="Z468" s="77">
        <f t="shared" si="154"/>
        <v>201108.66</v>
      </c>
      <c r="AA468" s="77">
        <v>0</v>
      </c>
      <c r="AB468" s="70">
        <v>2028</v>
      </c>
      <c r="AC468" s="70">
        <v>2028</v>
      </c>
      <c r="AD468" s="70">
        <v>2028</v>
      </c>
    </row>
    <row r="469" spans="1:30" x14ac:dyDescent="0.3">
      <c r="A469">
        <v>1</v>
      </c>
      <c r="B469" s="68">
        <f>SUBTOTAL(9,$A$341:A469)</f>
        <v>111</v>
      </c>
      <c r="C469" s="73" t="s">
        <v>240</v>
      </c>
      <c r="D469" s="79" t="s">
        <v>621</v>
      </c>
      <c r="E469" s="65">
        <f t="shared" si="153"/>
        <v>15641642.419999998</v>
      </c>
      <c r="F469" s="77">
        <v>0</v>
      </c>
      <c r="G469" s="77">
        <v>0</v>
      </c>
      <c r="H469" s="77">
        <v>0</v>
      </c>
      <c r="I469" s="77">
        <v>0</v>
      </c>
      <c r="J469" s="77">
        <v>0</v>
      </c>
      <c r="K469" s="77">
        <v>0</v>
      </c>
      <c r="L469" s="155">
        <v>0</v>
      </c>
      <c r="M469" s="77">
        <v>0</v>
      </c>
      <c r="N469" s="95">
        <v>1319.1</v>
      </c>
      <c r="O469" s="72">
        <f>16611213.79-1397772.98</f>
        <v>15213440.809999999</v>
      </c>
      <c r="P469" s="77">
        <v>0</v>
      </c>
      <c r="Q469" s="77">
        <v>0</v>
      </c>
      <c r="R469" s="77">
        <v>0</v>
      </c>
      <c r="S469" s="77">
        <v>0</v>
      </c>
      <c r="T469" s="77">
        <v>0</v>
      </c>
      <c r="U469" s="77">
        <v>0</v>
      </c>
      <c r="V469" s="77">
        <v>0</v>
      </c>
      <c r="W469" s="77">
        <v>0</v>
      </c>
      <c r="X469" s="77">
        <v>0</v>
      </c>
      <c r="Y469" s="77">
        <v>200000</v>
      </c>
      <c r="Z469" s="77">
        <f t="shared" si="154"/>
        <v>228201.61</v>
      </c>
      <c r="AA469" s="77">
        <v>0</v>
      </c>
      <c r="AB469" s="70">
        <v>2028</v>
      </c>
      <c r="AC469" s="70">
        <v>2028</v>
      </c>
      <c r="AD469" s="70">
        <v>2028</v>
      </c>
    </row>
    <row r="470" spans="1:30" x14ac:dyDescent="0.3">
      <c r="A470">
        <v>1</v>
      </c>
      <c r="B470" s="68">
        <f>SUBTOTAL(9,$A$341:A470)</f>
        <v>112</v>
      </c>
      <c r="C470" s="73" t="s">
        <v>241</v>
      </c>
      <c r="D470" s="79" t="s">
        <v>621</v>
      </c>
      <c r="E470" s="65">
        <f t="shared" si="153"/>
        <v>8301417.29</v>
      </c>
      <c r="F470" s="77">
        <v>0</v>
      </c>
      <c r="G470" s="77">
        <v>0</v>
      </c>
      <c r="H470" s="77">
        <v>0</v>
      </c>
      <c r="I470" s="77">
        <v>0</v>
      </c>
      <c r="J470" s="77">
        <v>0</v>
      </c>
      <c r="K470" s="77">
        <v>0</v>
      </c>
      <c r="L470" s="155">
        <v>0</v>
      </c>
      <c r="M470" s="77">
        <v>0</v>
      </c>
      <c r="N470" s="95">
        <v>653.93759</v>
      </c>
      <c r="O470" s="72">
        <v>7981691.9100000001</v>
      </c>
      <c r="P470" s="77">
        <v>0</v>
      </c>
      <c r="Q470" s="77">
        <v>0</v>
      </c>
      <c r="R470" s="77">
        <v>0</v>
      </c>
      <c r="S470" s="77">
        <v>0</v>
      </c>
      <c r="T470" s="77">
        <v>0</v>
      </c>
      <c r="U470" s="77">
        <v>0</v>
      </c>
      <c r="V470" s="77">
        <v>0</v>
      </c>
      <c r="W470" s="77">
        <v>0</v>
      </c>
      <c r="X470" s="77">
        <v>0</v>
      </c>
      <c r="Y470" s="77">
        <v>200000</v>
      </c>
      <c r="Z470" s="77">
        <f t="shared" si="154"/>
        <v>119725.38</v>
      </c>
      <c r="AA470" s="77">
        <v>0</v>
      </c>
      <c r="AB470" s="70">
        <v>2028</v>
      </c>
      <c r="AC470" s="70">
        <v>2028</v>
      </c>
      <c r="AD470" s="70">
        <v>2028</v>
      </c>
    </row>
    <row r="471" spans="1:30" x14ac:dyDescent="0.3">
      <c r="B471" s="62" t="s">
        <v>670</v>
      </c>
      <c r="C471" s="62"/>
      <c r="D471" s="86"/>
      <c r="E471" s="5">
        <f>E472+E473+E474+E475+E476+E477</f>
        <v>33777859.039999999</v>
      </c>
      <c r="F471" s="5">
        <f t="shared" ref="F471:AA471" si="155">F472+F473+F474+F475+F476+F477</f>
        <v>365546.55</v>
      </c>
      <c r="G471" s="5">
        <f t="shared" si="155"/>
        <v>0</v>
      </c>
      <c r="H471" s="5">
        <f t="shared" si="155"/>
        <v>0</v>
      </c>
      <c r="I471" s="5">
        <f t="shared" si="155"/>
        <v>2380408.96</v>
      </c>
      <c r="J471" s="5">
        <f t="shared" si="155"/>
        <v>0</v>
      </c>
      <c r="K471" s="5">
        <f t="shared" si="155"/>
        <v>0</v>
      </c>
      <c r="L471" s="155">
        <f t="shared" si="155"/>
        <v>0</v>
      </c>
      <c r="M471" s="5">
        <f t="shared" si="155"/>
        <v>0</v>
      </c>
      <c r="N471" s="5">
        <f t="shared" si="155"/>
        <v>2420</v>
      </c>
      <c r="O471" s="5">
        <f t="shared" si="155"/>
        <v>29478536.150000002</v>
      </c>
      <c r="P471" s="5">
        <f t="shared" si="155"/>
        <v>0</v>
      </c>
      <c r="Q471" s="5">
        <f t="shared" si="155"/>
        <v>0</v>
      </c>
      <c r="R471" s="5">
        <f t="shared" si="155"/>
        <v>0</v>
      </c>
      <c r="S471" s="5">
        <f t="shared" si="155"/>
        <v>0</v>
      </c>
      <c r="T471" s="5">
        <f t="shared" si="155"/>
        <v>0</v>
      </c>
      <c r="U471" s="5">
        <f t="shared" si="155"/>
        <v>0</v>
      </c>
      <c r="V471" s="5">
        <f t="shared" si="155"/>
        <v>0</v>
      </c>
      <c r="W471" s="5">
        <f t="shared" si="155"/>
        <v>0</v>
      </c>
      <c r="X471" s="5">
        <f t="shared" si="155"/>
        <v>0</v>
      </c>
      <c r="Y471" s="5">
        <f t="shared" si="155"/>
        <v>1070000</v>
      </c>
      <c r="Z471" s="5">
        <f t="shared" si="155"/>
        <v>483367.38000000006</v>
      </c>
      <c r="AA471" s="5">
        <f t="shared" si="155"/>
        <v>0</v>
      </c>
      <c r="AB471" s="66" t="s">
        <v>423</v>
      </c>
      <c r="AC471" s="66" t="s">
        <v>423</v>
      </c>
      <c r="AD471" s="66" t="s">
        <v>423</v>
      </c>
    </row>
    <row r="472" spans="1:30" x14ac:dyDescent="0.3">
      <c r="A472">
        <v>1</v>
      </c>
      <c r="B472" s="68">
        <f>SUBTOTAL(9,$A$341:A472)</f>
        <v>113</v>
      </c>
      <c r="C472" s="73" t="s">
        <v>251</v>
      </c>
      <c r="D472" s="79" t="s">
        <v>622</v>
      </c>
      <c r="E472" s="65">
        <f>F472+G472+H472+I472+J472+K472+M472+O472+Q472+S472+U472+V472+W472+X472+Z472+AA472+Y472</f>
        <v>2616115.09</v>
      </c>
      <c r="F472" s="77">
        <v>0</v>
      </c>
      <c r="G472" s="77">
        <v>0</v>
      </c>
      <c r="H472" s="77">
        <v>0</v>
      </c>
      <c r="I472" s="72">
        <v>2380408.96</v>
      </c>
      <c r="J472" s="77">
        <v>0</v>
      </c>
      <c r="K472" s="77">
        <v>0</v>
      </c>
      <c r="L472" s="155">
        <v>0</v>
      </c>
      <c r="M472" s="77">
        <v>0</v>
      </c>
      <c r="N472" s="72">
        <v>0</v>
      </c>
      <c r="O472" s="72">
        <v>0</v>
      </c>
      <c r="P472" s="77">
        <v>0</v>
      </c>
      <c r="Q472" s="77">
        <v>0</v>
      </c>
      <c r="R472" s="77">
        <v>0</v>
      </c>
      <c r="S472" s="77">
        <v>0</v>
      </c>
      <c r="T472" s="77">
        <v>0</v>
      </c>
      <c r="U472" s="77">
        <v>0</v>
      </c>
      <c r="V472" s="77">
        <v>0</v>
      </c>
      <c r="W472" s="77">
        <v>0</v>
      </c>
      <c r="X472" s="77">
        <v>0</v>
      </c>
      <c r="Y472" s="77">
        <v>200000</v>
      </c>
      <c r="Z472" s="77">
        <f>ROUND(I472*1.5%,2)</f>
        <v>35706.129999999997</v>
      </c>
      <c r="AA472" s="77">
        <v>0</v>
      </c>
      <c r="AB472" s="70">
        <v>2028</v>
      </c>
      <c r="AC472" s="70">
        <v>2028</v>
      </c>
      <c r="AD472" s="70">
        <v>2028</v>
      </c>
    </row>
    <row r="473" spans="1:30" x14ac:dyDescent="0.3">
      <c r="A473">
        <v>1</v>
      </c>
      <c r="B473" s="68">
        <f>SUBTOTAL(9,$A$341:A473)</f>
        <v>114</v>
      </c>
      <c r="C473" s="73" t="s">
        <v>252</v>
      </c>
      <c r="D473" s="79" t="s">
        <v>622</v>
      </c>
      <c r="E473" s="65">
        <f t="shared" ref="E473:E475" si="156">F473+G473+H473+I473+J473+K473+M473+O473+Q473+S473+U473+V473+W473+X473+Z473+AA473+Y473</f>
        <v>4950858.9000000004</v>
      </c>
      <c r="F473" s="77">
        <v>0</v>
      </c>
      <c r="G473" s="77">
        <v>0</v>
      </c>
      <c r="H473" s="77">
        <v>0</v>
      </c>
      <c r="I473" s="77">
        <v>0</v>
      </c>
      <c r="J473" s="77">
        <v>0</v>
      </c>
      <c r="K473" s="77">
        <v>0</v>
      </c>
      <c r="L473" s="155">
        <v>0</v>
      </c>
      <c r="M473" s="77">
        <v>0</v>
      </c>
      <c r="N473" s="72">
        <v>390</v>
      </c>
      <c r="O473" s="72">
        <v>4680649.16</v>
      </c>
      <c r="P473" s="77">
        <v>0</v>
      </c>
      <c r="Q473" s="77">
        <v>0</v>
      </c>
      <c r="R473" s="77">
        <v>0</v>
      </c>
      <c r="S473" s="77">
        <v>0</v>
      </c>
      <c r="T473" s="77">
        <v>0</v>
      </c>
      <c r="U473" s="77">
        <v>0</v>
      </c>
      <c r="V473" s="77">
        <v>0</v>
      </c>
      <c r="W473" s="77">
        <v>0</v>
      </c>
      <c r="X473" s="77">
        <v>0</v>
      </c>
      <c r="Y473" s="77">
        <v>200000</v>
      </c>
      <c r="Z473" s="77">
        <f>ROUND(O473*1.5%,2)</f>
        <v>70209.740000000005</v>
      </c>
      <c r="AA473" s="77">
        <v>0</v>
      </c>
      <c r="AB473" s="70">
        <v>2028</v>
      </c>
      <c r="AC473" s="70">
        <v>2028</v>
      </c>
      <c r="AD473" s="70">
        <v>2028</v>
      </c>
    </row>
    <row r="474" spans="1:30" x14ac:dyDescent="0.3">
      <c r="A474">
        <v>1</v>
      </c>
      <c r="B474" s="68">
        <f>SUBTOTAL(9,$A$341:A474)</f>
        <v>115</v>
      </c>
      <c r="C474" s="73" t="s">
        <v>253</v>
      </c>
      <c r="D474" s="79" t="s">
        <v>622</v>
      </c>
      <c r="E474" s="65">
        <f t="shared" si="156"/>
        <v>441029.75</v>
      </c>
      <c r="F474" s="72">
        <v>365546.55</v>
      </c>
      <c r="G474" s="77">
        <v>0</v>
      </c>
      <c r="H474" s="77">
        <v>0</v>
      </c>
      <c r="I474" s="77">
        <v>0</v>
      </c>
      <c r="J474" s="77">
        <v>0</v>
      </c>
      <c r="K474" s="77">
        <v>0</v>
      </c>
      <c r="L474" s="155">
        <v>0</v>
      </c>
      <c r="M474" s="77">
        <v>0</v>
      </c>
      <c r="N474" s="72">
        <v>0</v>
      </c>
      <c r="O474" s="72">
        <v>0</v>
      </c>
      <c r="P474" s="77">
        <v>0</v>
      </c>
      <c r="Q474" s="77">
        <v>0</v>
      </c>
      <c r="R474" s="77">
        <v>0</v>
      </c>
      <c r="S474" s="77">
        <v>0</v>
      </c>
      <c r="T474" s="77">
        <v>0</v>
      </c>
      <c r="U474" s="77">
        <v>0</v>
      </c>
      <c r="V474" s="77">
        <v>0</v>
      </c>
      <c r="W474" s="77">
        <v>0</v>
      </c>
      <c r="X474" s="77">
        <v>0</v>
      </c>
      <c r="Y474" s="77">
        <v>70000</v>
      </c>
      <c r="Z474" s="77">
        <f>ROUND(F474*1.5%,2)</f>
        <v>5483.2</v>
      </c>
      <c r="AA474" s="77">
        <v>0</v>
      </c>
      <c r="AB474" s="70">
        <v>2028</v>
      </c>
      <c r="AC474" s="70">
        <v>2028</v>
      </c>
      <c r="AD474" s="70">
        <v>2028</v>
      </c>
    </row>
    <row r="475" spans="1:30" x14ac:dyDescent="0.3">
      <c r="A475">
        <v>1</v>
      </c>
      <c r="B475" s="68">
        <f>SUBTOTAL(9,$A$341:A475)</f>
        <v>116</v>
      </c>
      <c r="C475" s="73" t="s">
        <v>254</v>
      </c>
      <c r="D475" s="79" t="s">
        <v>622</v>
      </c>
      <c r="E475" s="65">
        <f t="shared" si="156"/>
        <v>9901717.8000000007</v>
      </c>
      <c r="F475" s="77">
        <v>0</v>
      </c>
      <c r="G475" s="77">
        <v>0</v>
      </c>
      <c r="H475" s="77">
        <v>0</v>
      </c>
      <c r="I475" s="77">
        <v>0</v>
      </c>
      <c r="J475" s="77">
        <v>0</v>
      </c>
      <c r="K475" s="77">
        <v>0</v>
      </c>
      <c r="L475" s="155">
        <v>0</v>
      </c>
      <c r="M475" s="77">
        <v>0</v>
      </c>
      <c r="N475" s="72">
        <v>780</v>
      </c>
      <c r="O475" s="72">
        <v>9558342.6600000001</v>
      </c>
      <c r="P475" s="77">
        <v>0</v>
      </c>
      <c r="Q475" s="77">
        <v>0</v>
      </c>
      <c r="R475" s="77">
        <v>0</v>
      </c>
      <c r="S475" s="77">
        <v>0</v>
      </c>
      <c r="T475" s="77">
        <v>0</v>
      </c>
      <c r="U475" s="77">
        <v>0</v>
      </c>
      <c r="V475" s="77">
        <v>0</v>
      </c>
      <c r="W475" s="77">
        <v>0</v>
      </c>
      <c r="X475" s="77">
        <v>0</v>
      </c>
      <c r="Y475" s="77">
        <v>200000</v>
      </c>
      <c r="Z475" s="77">
        <f>ROUND(O475*1.5%,2)</f>
        <v>143375.14000000001</v>
      </c>
      <c r="AA475" s="77">
        <v>0</v>
      </c>
      <c r="AB475" s="70">
        <v>2028</v>
      </c>
      <c r="AC475" s="70">
        <v>2028</v>
      </c>
      <c r="AD475" s="70">
        <v>2028</v>
      </c>
    </row>
    <row r="476" spans="1:30" x14ac:dyDescent="0.3">
      <c r="A476">
        <v>1</v>
      </c>
      <c r="B476" s="68">
        <f>SUBTOTAL(9,$A$341:A476)</f>
        <v>117</v>
      </c>
      <c r="C476" s="73" t="s">
        <v>255</v>
      </c>
      <c r="D476" s="79" t="s">
        <v>622</v>
      </c>
      <c r="E476" s="65">
        <f>F476+G476+H476+I476+J476+K476+M476+O476+Q476+S476+U476+V476+W476+X476+Z476+AA476+Y476</f>
        <v>7489760.9000000004</v>
      </c>
      <c r="F476" s="77">
        <v>0</v>
      </c>
      <c r="G476" s="77">
        <v>0</v>
      </c>
      <c r="H476" s="77">
        <v>0</v>
      </c>
      <c r="I476" s="77">
        <v>0</v>
      </c>
      <c r="J476" s="77">
        <v>0</v>
      </c>
      <c r="K476" s="77">
        <v>0</v>
      </c>
      <c r="L476" s="155">
        <v>0</v>
      </c>
      <c r="M476" s="77">
        <v>0</v>
      </c>
      <c r="N476" s="72">
        <v>590</v>
      </c>
      <c r="O476" s="72">
        <v>7182030.4400000004</v>
      </c>
      <c r="P476" s="77">
        <v>0</v>
      </c>
      <c r="Q476" s="77">
        <v>0</v>
      </c>
      <c r="R476" s="77">
        <v>0</v>
      </c>
      <c r="S476" s="77">
        <v>0</v>
      </c>
      <c r="T476" s="77">
        <v>0</v>
      </c>
      <c r="U476" s="77">
        <v>0</v>
      </c>
      <c r="V476" s="77">
        <v>0</v>
      </c>
      <c r="W476" s="77">
        <v>0</v>
      </c>
      <c r="X476" s="77">
        <v>0</v>
      </c>
      <c r="Y476" s="77">
        <v>200000</v>
      </c>
      <c r="Z476" s="77">
        <f>ROUND(O476*1.5%,2)</f>
        <v>107730.46</v>
      </c>
      <c r="AA476" s="77">
        <v>0</v>
      </c>
      <c r="AB476" s="70">
        <v>2028</v>
      </c>
      <c r="AC476" s="70">
        <v>2028</v>
      </c>
      <c r="AD476" s="70">
        <v>2028</v>
      </c>
    </row>
    <row r="477" spans="1:30" x14ac:dyDescent="0.3">
      <c r="A477">
        <v>1</v>
      </c>
      <c r="B477" s="68">
        <f>SUBTOTAL(9,$A$341:A477)</f>
        <v>118</v>
      </c>
      <c r="C477" s="73" t="s">
        <v>256</v>
      </c>
      <c r="D477" s="79" t="s">
        <v>622</v>
      </c>
      <c r="E477" s="65">
        <f>F477+G477+H477+I477+J477+K477+M477+O477+Q477+S477+U477+V477+W477+X477+Z477+AA477+Y477</f>
        <v>8378376.5999999996</v>
      </c>
      <c r="F477" s="77">
        <v>0</v>
      </c>
      <c r="G477" s="77">
        <v>0</v>
      </c>
      <c r="H477" s="77">
        <v>0</v>
      </c>
      <c r="I477" s="77">
        <v>0</v>
      </c>
      <c r="J477" s="77">
        <v>0</v>
      </c>
      <c r="K477" s="77">
        <v>0</v>
      </c>
      <c r="L477" s="155">
        <v>0</v>
      </c>
      <c r="M477" s="77">
        <v>0</v>
      </c>
      <c r="N477" s="72">
        <v>660</v>
      </c>
      <c r="O477" s="72">
        <v>8057513.8899999997</v>
      </c>
      <c r="P477" s="77">
        <v>0</v>
      </c>
      <c r="Q477" s="77">
        <v>0</v>
      </c>
      <c r="R477" s="77">
        <v>0</v>
      </c>
      <c r="S477" s="77">
        <v>0</v>
      </c>
      <c r="T477" s="77">
        <v>0</v>
      </c>
      <c r="U477" s="77">
        <v>0</v>
      </c>
      <c r="V477" s="77">
        <v>0</v>
      </c>
      <c r="W477" s="77">
        <v>0</v>
      </c>
      <c r="X477" s="77">
        <v>0</v>
      </c>
      <c r="Y477" s="77">
        <v>200000</v>
      </c>
      <c r="Z477" s="77">
        <f>ROUND(O477*1.5%,2)</f>
        <v>120862.71</v>
      </c>
      <c r="AA477" s="77">
        <v>0</v>
      </c>
      <c r="AB477" s="70">
        <v>2028</v>
      </c>
      <c r="AC477" s="70">
        <v>2028</v>
      </c>
      <c r="AD477" s="70">
        <v>2028</v>
      </c>
    </row>
    <row r="478" spans="1:30" x14ac:dyDescent="0.3">
      <c r="B478" s="62" t="s">
        <v>266</v>
      </c>
      <c r="C478" s="62"/>
      <c r="D478" s="86"/>
      <c r="E478" s="5">
        <f>E479</f>
        <v>4441177.17</v>
      </c>
      <c r="F478" s="77">
        <f t="shared" ref="F478:AA478" si="157">F479</f>
        <v>0</v>
      </c>
      <c r="G478" s="77">
        <f t="shared" si="157"/>
        <v>0</v>
      </c>
      <c r="H478" s="77">
        <f t="shared" si="157"/>
        <v>0</v>
      </c>
      <c r="I478" s="77">
        <f t="shared" si="157"/>
        <v>0</v>
      </c>
      <c r="J478" s="77">
        <f t="shared" si="157"/>
        <v>0</v>
      </c>
      <c r="K478" s="77">
        <f t="shared" si="157"/>
        <v>0</v>
      </c>
      <c r="L478" s="155">
        <f t="shared" si="157"/>
        <v>0</v>
      </c>
      <c r="M478" s="77">
        <f t="shared" si="157"/>
        <v>0</v>
      </c>
      <c r="N478" s="77">
        <f t="shared" si="157"/>
        <v>0</v>
      </c>
      <c r="O478" s="77">
        <f t="shared" si="157"/>
        <v>0</v>
      </c>
      <c r="P478" s="77">
        <f t="shared" si="157"/>
        <v>0</v>
      </c>
      <c r="Q478" s="77">
        <f t="shared" si="157"/>
        <v>0</v>
      </c>
      <c r="R478" s="77">
        <f t="shared" si="157"/>
        <v>387</v>
      </c>
      <c r="S478" s="77">
        <f t="shared" si="157"/>
        <v>4178499.67</v>
      </c>
      <c r="T478" s="77">
        <f t="shared" si="157"/>
        <v>0</v>
      </c>
      <c r="U478" s="77">
        <f t="shared" si="157"/>
        <v>0</v>
      </c>
      <c r="V478" s="77">
        <f t="shared" si="157"/>
        <v>0</v>
      </c>
      <c r="W478" s="77">
        <f t="shared" si="157"/>
        <v>0</v>
      </c>
      <c r="X478" s="77">
        <f t="shared" si="157"/>
        <v>0</v>
      </c>
      <c r="Y478" s="77">
        <f t="shared" si="157"/>
        <v>200000</v>
      </c>
      <c r="Z478" s="77">
        <f t="shared" si="157"/>
        <v>62677.5</v>
      </c>
      <c r="AA478" s="77">
        <f t="shared" si="157"/>
        <v>0</v>
      </c>
      <c r="AB478" s="66" t="s">
        <v>423</v>
      </c>
      <c r="AC478" s="66" t="s">
        <v>423</v>
      </c>
      <c r="AD478" s="66" t="s">
        <v>423</v>
      </c>
    </row>
    <row r="479" spans="1:30" x14ac:dyDescent="0.3">
      <c r="A479">
        <v>1</v>
      </c>
      <c r="B479" s="68">
        <f>SUBTOTAL(9,$A$341:A479)</f>
        <v>119</v>
      </c>
      <c r="C479" s="73" t="s">
        <v>260</v>
      </c>
      <c r="D479" s="79" t="s">
        <v>623</v>
      </c>
      <c r="E479" s="65">
        <f>F479+G479+H479+I479+J479+K479+M479+O479+Q479+S479+U479+V479+W479+X479+Z479+AA479+Y479</f>
        <v>4441177.17</v>
      </c>
      <c r="F479" s="77">
        <v>0</v>
      </c>
      <c r="G479" s="77">
        <v>0</v>
      </c>
      <c r="H479" s="77">
        <v>0</v>
      </c>
      <c r="I479" s="77">
        <v>0</v>
      </c>
      <c r="J479" s="77">
        <v>0</v>
      </c>
      <c r="K479" s="77">
        <v>0</v>
      </c>
      <c r="L479" s="155">
        <v>0</v>
      </c>
      <c r="M479" s="77">
        <v>0</v>
      </c>
      <c r="N479" s="72">
        <v>0</v>
      </c>
      <c r="O479" s="72">
        <v>0</v>
      </c>
      <c r="P479" s="77">
        <v>0</v>
      </c>
      <c r="Q479" s="77">
        <v>0</v>
      </c>
      <c r="R479" s="72">
        <v>387</v>
      </c>
      <c r="S479" s="72">
        <v>4178499.67</v>
      </c>
      <c r="T479" s="77">
        <v>0</v>
      </c>
      <c r="U479" s="77">
        <v>0</v>
      </c>
      <c r="V479" s="77">
        <v>0</v>
      </c>
      <c r="W479" s="77">
        <v>0</v>
      </c>
      <c r="X479" s="77">
        <v>0</v>
      </c>
      <c r="Y479" s="77">
        <v>200000</v>
      </c>
      <c r="Z479" s="77">
        <f>ROUND(S479*1.5%,2)</f>
        <v>62677.5</v>
      </c>
      <c r="AA479" s="77">
        <v>0</v>
      </c>
      <c r="AB479" s="70">
        <v>2028</v>
      </c>
      <c r="AC479" s="70">
        <v>2028</v>
      </c>
      <c r="AD479" s="70">
        <v>2028</v>
      </c>
    </row>
    <row r="480" spans="1:30" x14ac:dyDescent="0.3">
      <c r="B480" s="62" t="s">
        <v>264</v>
      </c>
      <c r="C480" s="62"/>
      <c r="D480" s="86"/>
      <c r="E480" s="5">
        <f>E481</f>
        <v>4595412.62</v>
      </c>
      <c r="F480" s="77">
        <f t="shared" ref="F480:AA480" si="158">F481</f>
        <v>0</v>
      </c>
      <c r="G480" s="77">
        <f t="shared" si="158"/>
        <v>0</v>
      </c>
      <c r="H480" s="77">
        <f t="shared" si="158"/>
        <v>0</v>
      </c>
      <c r="I480" s="77">
        <f t="shared" si="158"/>
        <v>0</v>
      </c>
      <c r="J480" s="77">
        <f t="shared" si="158"/>
        <v>0</v>
      </c>
      <c r="K480" s="77">
        <f t="shared" si="158"/>
        <v>0</v>
      </c>
      <c r="L480" s="155">
        <f t="shared" si="158"/>
        <v>0</v>
      </c>
      <c r="M480" s="77">
        <f t="shared" si="158"/>
        <v>0</v>
      </c>
      <c r="N480" s="77">
        <f t="shared" si="158"/>
        <v>362</v>
      </c>
      <c r="O480" s="77">
        <f t="shared" si="158"/>
        <v>4379716.87</v>
      </c>
      <c r="P480" s="77">
        <f t="shared" si="158"/>
        <v>0</v>
      </c>
      <c r="Q480" s="77">
        <f t="shared" si="158"/>
        <v>0</v>
      </c>
      <c r="R480" s="77">
        <f t="shared" si="158"/>
        <v>0</v>
      </c>
      <c r="S480" s="77">
        <f t="shared" si="158"/>
        <v>0</v>
      </c>
      <c r="T480" s="77">
        <f t="shared" si="158"/>
        <v>0</v>
      </c>
      <c r="U480" s="77">
        <f t="shared" si="158"/>
        <v>0</v>
      </c>
      <c r="V480" s="77">
        <f t="shared" si="158"/>
        <v>0</v>
      </c>
      <c r="W480" s="77">
        <f t="shared" si="158"/>
        <v>0</v>
      </c>
      <c r="X480" s="77">
        <f t="shared" si="158"/>
        <v>0</v>
      </c>
      <c r="Y480" s="77">
        <f t="shared" si="158"/>
        <v>150000</v>
      </c>
      <c r="Z480" s="77">
        <f t="shared" si="158"/>
        <v>65695.75</v>
      </c>
      <c r="AA480" s="77">
        <f t="shared" si="158"/>
        <v>0</v>
      </c>
      <c r="AB480" s="66" t="s">
        <v>423</v>
      </c>
      <c r="AC480" s="66" t="s">
        <v>423</v>
      </c>
      <c r="AD480" s="66" t="s">
        <v>423</v>
      </c>
    </row>
    <row r="481" spans="1:30" ht="20.25" customHeight="1" x14ac:dyDescent="0.3">
      <c r="A481">
        <v>1</v>
      </c>
      <c r="B481" s="68">
        <f>SUBTOTAL(9,$A$341:A481)</f>
        <v>120</v>
      </c>
      <c r="C481" s="73" t="s">
        <v>261</v>
      </c>
      <c r="D481" s="79" t="s">
        <v>623</v>
      </c>
      <c r="E481" s="65">
        <f>F481+G481+H481+I481+J481+K481+M481+O481+Q481+S481+U481+V481+W481+X481+Z481+AA481+Y481</f>
        <v>4595412.62</v>
      </c>
      <c r="F481" s="77">
        <v>0</v>
      </c>
      <c r="G481" s="77">
        <v>0</v>
      </c>
      <c r="H481" s="77">
        <v>0</v>
      </c>
      <c r="I481" s="77">
        <v>0</v>
      </c>
      <c r="J481" s="77">
        <v>0</v>
      </c>
      <c r="K481" s="77">
        <v>0</v>
      </c>
      <c r="L481" s="155">
        <v>0</v>
      </c>
      <c r="M481" s="77">
        <v>0</v>
      </c>
      <c r="N481" s="72">
        <v>362</v>
      </c>
      <c r="O481" s="72">
        <v>4379716.87</v>
      </c>
      <c r="P481" s="77">
        <v>0</v>
      </c>
      <c r="Q481" s="77">
        <v>0</v>
      </c>
      <c r="R481" s="77">
        <v>0</v>
      </c>
      <c r="S481" s="77">
        <v>0</v>
      </c>
      <c r="T481" s="77">
        <v>0</v>
      </c>
      <c r="U481" s="77">
        <v>0</v>
      </c>
      <c r="V481" s="77">
        <v>0</v>
      </c>
      <c r="W481" s="77">
        <v>0</v>
      </c>
      <c r="X481" s="77">
        <v>0</v>
      </c>
      <c r="Y481" s="77">
        <v>150000</v>
      </c>
      <c r="Z481" s="77">
        <f>ROUND(O481*1.5%,2)</f>
        <v>65695.75</v>
      </c>
      <c r="AA481" s="77">
        <v>0</v>
      </c>
      <c r="AB481" s="70">
        <v>2028</v>
      </c>
      <c r="AC481" s="70">
        <v>2028</v>
      </c>
      <c r="AD481" s="70">
        <v>2028</v>
      </c>
    </row>
    <row r="482" spans="1:30" x14ac:dyDescent="0.3">
      <c r="B482" s="62" t="s">
        <v>267</v>
      </c>
      <c r="C482" s="62"/>
      <c r="D482" s="86"/>
      <c r="E482" s="5">
        <f>E483</f>
        <v>7553233.4500000002</v>
      </c>
      <c r="F482" s="77">
        <f t="shared" ref="F482:AA482" si="159">F483</f>
        <v>0</v>
      </c>
      <c r="G482" s="77">
        <f t="shared" si="159"/>
        <v>0</v>
      </c>
      <c r="H482" s="77">
        <f t="shared" si="159"/>
        <v>0</v>
      </c>
      <c r="I482" s="77">
        <f t="shared" si="159"/>
        <v>0</v>
      </c>
      <c r="J482" s="77">
        <f t="shared" si="159"/>
        <v>0</v>
      </c>
      <c r="K482" s="77">
        <f t="shared" si="159"/>
        <v>0</v>
      </c>
      <c r="L482" s="155">
        <f t="shared" si="159"/>
        <v>0</v>
      </c>
      <c r="M482" s="77">
        <f t="shared" si="159"/>
        <v>0</v>
      </c>
      <c r="N482" s="77">
        <f t="shared" si="159"/>
        <v>595</v>
      </c>
      <c r="O482" s="77">
        <f t="shared" si="159"/>
        <v>7244564.9800000004</v>
      </c>
      <c r="P482" s="77">
        <f t="shared" si="159"/>
        <v>0</v>
      </c>
      <c r="Q482" s="77">
        <f t="shared" si="159"/>
        <v>0</v>
      </c>
      <c r="R482" s="77">
        <f t="shared" si="159"/>
        <v>0</v>
      </c>
      <c r="S482" s="77">
        <f t="shared" si="159"/>
        <v>0</v>
      </c>
      <c r="T482" s="77">
        <f t="shared" si="159"/>
        <v>0</v>
      </c>
      <c r="U482" s="77">
        <f t="shared" si="159"/>
        <v>0</v>
      </c>
      <c r="V482" s="77">
        <f t="shared" si="159"/>
        <v>0</v>
      </c>
      <c r="W482" s="77">
        <f t="shared" si="159"/>
        <v>0</v>
      </c>
      <c r="X482" s="77">
        <f t="shared" si="159"/>
        <v>0</v>
      </c>
      <c r="Y482" s="77">
        <f t="shared" si="159"/>
        <v>200000</v>
      </c>
      <c r="Z482" s="77">
        <f t="shared" si="159"/>
        <v>108668.47</v>
      </c>
      <c r="AA482" s="77">
        <f t="shared" si="159"/>
        <v>0</v>
      </c>
      <c r="AB482" s="66" t="s">
        <v>423</v>
      </c>
      <c r="AC482" s="66" t="s">
        <v>423</v>
      </c>
      <c r="AD482" s="66" t="s">
        <v>423</v>
      </c>
    </row>
    <row r="483" spans="1:30" x14ac:dyDescent="0.3">
      <c r="A483">
        <v>1</v>
      </c>
      <c r="B483" s="68">
        <f>SUBTOTAL(9,$A$341:A483)</f>
        <v>121</v>
      </c>
      <c r="C483" s="73" t="s">
        <v>262</v>
      </c>
      <c r="D483" s="79" t="s">
        <v>623</v>
      </c>
      <c r="E483" s="65">
        <f>F483+G483+H483+I483+J483+K483+M483+O483+Q483+S483+U483+V483+W483+X483+Z483+AA483+Y483</f>
        <v>7553233.4500000002</v>
      </c>
      <c r="F483" s="77">
        <v>0</v>
      </c>
      <c r="G483" s="77">
        <v>0</v>
      </c>
      <c r="H483" s="77">
        <v>0</v>
      </c>
      <c r="I483" s="77">
        <v>0</v>
      </c>
      <c r="J483" s="77">
        <v>0</v>
      </c>
      <c r="K483" s="77">
        <v>0</v>
      </c>
      <c r="L483" s="155">
        <v>0</v>
      </c>
      <c r="M483" s="77">
        <v>0</v>
      </c>
      <c r="N483" s="72">
        <v>595</v>
      </c>
      <c r="O483" s="72">
        <v>7244564.9800000004</v>
      </c>
      <c r="P483" s="77">
        <v>0</v>
      </c>
      <c r="Q483" s="77">
        <v>0</v>
      </c>
      <c r="R483" s="77">
        <v>0</v>
      </c>
      <c r="S483" s="77">
        <v>0</v>
      </c>
      <c r="T483" s="77">
        <v>0</v>
      </c>
      <c r="U483" s="77">
        <v>0</v>
      </c>
      <c r="V483" s="77">
        <v>0</v>
      </c>
      <c r="W483" s="77">
        <v>0</v>
      </c>
      <c r="X483" s="77">
        <v>0</v>
      </c>
      <c r="Y483" s="77">
        <v>200000</v>
      </c>
      <c r="Z483" s="77">
        <f>ROUND(O483*1.5%,2)</f>
        <v>108668.47</v>
      </c>
      <c r="AA483" s="77">
        <v>0</v>
      </c>
      <c r="AB483" s="70">
        <v>2028</v>
      </c>
      <c r="AC483" s="70">
        <v>2028</v>
      </c>
      <c r="AD483" s="70">
        <v>2028</v>
      </c>
    </row>
    <row r="484" spans="1:30" x14ac:dyDescent="0.3">
      <c r="B484" s="62" t="s">
        <v>268</v>
      </c>
      <c r="C484" s="62"/>
      <c r="D484" s="86"/>
      <c r="E484" s="5">
        <f>E485</f>
        <v>9774772.6999999993</v>
      </c>
      <c r="F484" s="77">
        <f t="shared" ref="F484:Z484" si="160">F485</f>
        <v>0</v>
      </c>
      <c r="G484" s="77">
        <f t="shared" si="160"/>
        <v>0</v>
      </c>
      <c r="H484" s="77">
        <f t="shared" si="160"/>
        <v>0</v>
      </c>
      <c r="I484" s="77">
        <f t="shared" si="160"/>
        <v>0</v>
      </c>
      <c r="J484" s="77">
        <f t="shared" si="160"/>
        <v>0</v>
      </c>
      <c r="K484" s="77">
        <f t="shared" si="160"/>
        <v>0</v>
      </c>
      <c r="L484" s="155">
        <f t="shared" si="160"/>
        <v>0</v>
      </c>
      <c r="M484" s="77">
        <f t="shared" si="160"/>
        <v>0</v>
      </c>
      <c r="N484" s="77">
        <f t="shared" si="160"/>
        <v>770</v>
      </c>
      <c r="O484" s="77">
        <f t="shared" si="160"/>
        <v>9433273.5999999996</v>
      </c>
      <c r="P484" s="77">
        <f t="shared" si="160"/>
        <v>0</v>
      </c>
      <c r="Q484" s="77">
        <f t="shared" si="160"/>
        <v>0</v>
      </c>
      <c r="R484" s="77">
        <f t="shared" si="160"/>
        <v>0</v>
      </c>
      <c r="S484" s="77">
        <f t="shared" si="160"/>
        <v>0</v>
      </c>
      <c r="T484" s="77">
        <f t="shared" si="160"/>
        <v>0</v>
      </c>
      <c r="U484" s="77">
        <f t="shared" si="160"/>
        <v>0</v>
      </c>
      <c r="V484" s="77">
        <f t="shared" si="160"/>
        <v>0</v>
      </c>
      <c r="W484" s="77">
        <f t="shared" si="160"/>
        <v>0</v>
      </c>
      <c r="X484" s="77">
        <f t="shared" si="160"/>
        <v>0</v>
      </c>
      <c r="Y484" s="77">
        <f t="shared" si="160"/>
        <v>200000</v>
      </c>
      <c r="Z484" s="77">
        <f t="shared" si="160"/>
        <v>141499.1</v>
      </c>
      <c r="AA484" s="77">
        <f>AA485</f>
        <v>0</v>
      </c>
      <c r="AB484" s="66" t="s">
        <v>423</v>
      </c>
      <c r="AC484" s="66" t="s">
        <v>423</v>
      </c>
      <c r="AD484" s="66" t="s">
        <v>423</v>
      </c>
    </row>
    <row r="485" spans="1:30" x14ac:dyDescent="0.3">
      <c r="A485">
        <v>1</v>
      </c>
      <c r="B485" s="68">
        <f>SUBTOTAL(9,$A$341:A485)</f>
        <v>122</v>
      </c>
      <c r="C485" s="73" t="s">
        <v>263</v>
      </c>
      <c r="D485" s="79" t="s">
        <v>623</v>
      </c>
      <c r="E485" s="65">
        <f>F485+G485+H485+I485+J485+K485+M485+O485+Q485+S485+U485+V485+W485+X485+Z485+AA485+Y485</f>
        <v>9774772.6999999993</v>
      </c>
      <c r="F485" s="77">
        <v>0</v>
      </c>
      <c r="G485" s="77">
        <v>0</v>
      </c>
      <c r="H485" s="77">
        <v>0</v>
      </c>
      <c r="I485" s="77">
        <v>0</v>
      </c>
      <c r="J485" s="77">
        <v>0</v>
      </c>
      <c r="K485" s="77">
        <v>0</v>
      </c>
      <c r="L485" s="155">
        <v>0</v>
      </c>
      <c r="M485" s="77">
        <v>0</v>
      </c>
      <c r="N485" s="72">
        <v>770</v>
      </c>
      <c r="O485" s="72">
        <v>9433273.5999999996</v>
      </c>
      <c r="P485" s="77">
        <v>0</v>
      </c>
      <c r="Q485" s="77">
        <v>0</v>
      </c>
      <c r="R485" s="77">
        <v>0</v>
      </c>
      <c r="S485" s="77">
        <v>0</v>
      </c>
      <c r="T485" s="77">
        <v>0</v>
      </c>
      <c r="U485" s="77">
        <v>0</v>
      </c>
      <c r="V485" s="77">
        <v>0</v>
      </c>
      <c r="W485" s="77">
        <v>0</v>
      </c>
      <c r="X485" s="77">
        <v>0</v>
      </c>
      <c r="Y485" s="77">
        <v>200000</v>
      </c>
      <c r="Z485" s="77">
        <f>ROUND(O485*1.5%,2)</f>
        <v>141499.1</v>
      </c>
      <c r="AA485" s="77">
        <v>0</v>
      </c>
      <c r="AB485" s="70">
        <v>2028</v>
      </c>
      <c r="AC485" s="70">
        <v>2028</v>
      </c>
      <c r="AD485" s="70">
        <v>2028</v>
      </c>
    </row>
    <row r="486" spans="1:30" x14ac:dyDescent="0.3">
      <c r="B486" s="62" t="s">
        <v>695</v>
      </c>
      <c r="C486" s="62"/>
      <c r="D486" s="86"/>
      <c r="E486" s="5">
        <f>E487</f>
        <v>20622231.5</v>
      </c>
      <c r="F486" s="77">
        <f t="shared" ref="F486:AA486" si="161">F487</f>
        <v>0</v>
      </c>
      <c r="G486" s="77">
        <f t="shared" si="161"/>
        <v>0</v>
      </c>
      <c r="H486" s="77">
        <f t="shared" si="161"/>
        <v>0</v>
      </c>
      <c r="I486" s="77">
        <f t="shared" si="161"/>
        <v>0</v>
      </c>
      <c r="J486" s="77">
        <f t="shared" si="161"/>
        <v>0</v>
      </c>
      <c r="K486" s="77">
        <f t="shared" si="161"/>
        <v>0</v>
      </c>
      <c r="L486" s="155">
        <f t="shared" si="161"/>
        <v>0</v>
      </c>
      <c r="M486" s="77">
        <f t="shared" si="161"/>
        <v>0</v>
      </c>
      <c r="N486" s="77">
        <f t="shared" si="161"/>
        <v>1624.5</v>
      </c>
      <c r="O486" s="77">
        <f t="shared" si="161"/>
        <v>20071164.039999999</v>
      </c>
      <c r="P486" s="77">
        <f t="shared" si="161"/>
        <v>0</v>
      </c>
      <c r="Q486" s="77">
        <f t="shared" si="161"/>
        <v>0</v>
      </c>
      <c r="R486" s="77">
        <f t="shared" si="161"/>
        <v>0</v>
      </c>
      <c r="S486" s="77">
        <f t="shared" si="161"/>
        <v>0</v>
      </c>
      <c r="T486" s="77">
        <f t="shared" si="161"/>
        <v>0</v>
      </c>
      <c r="U486" s="77">
        <f t="shared" si="161"/>
        <v>0</v>
      </c>
      <c r="V486" s="77">
        <f t="shared" si="161"/>
        <v>0</v>
      </c>
      <c r="W486" s="77">
        <f t="shared" si="161"/>
        <v>0</v>
      </c>
      <c r="X486" s="77">
        <f t="shared" si="161"/>
        <v>0</v>
      </c>
      <c r="Y486" s="77">
        <f t="shared" si="161"/>
        <v>250000</v>
      </c>
      <c r="Z486" s="77">
        <f t="shared" si="161"/>
        <v>301067.46000000002</v>
      </c>
      <c r="AA486" s="77">
        <f t="shared" si="161"/>
        <v>0</v>
      </c>
      <c r="AB486" s="66" t="s">
        <v>423</v>
      </c>
      <c r="AC486" s="66" t="s">
        <v>423</v>
      </c>
      <c r="AD486" s="66" t="s">
        <v>423</v>
      </c>
    </row>
    <row r="487" spans="1:30" x14ac:dyDescent="0.3">
      <c r="A487">
        <v>1</v>
      </c>
      <c r="B487" s="68">
        <f>SUBTOTAL(9,$A$341:A487)</f>
        <v>123</v>
      </c>
      <c r="C487" s="73" t="s">
        <v>272</v>
      </c>
      <c r="D487" s="79" t="s">
        <v>624</v>
      </c>
      <c r="E487" s="65">
        <f>F487+G487+H487+I487+J487+K487+M487+O487+Q487+S487+U487+V487+W487+X487+Z487+AA487+Y487</f>
        <v>20622231.5</v>
      </c>
      <c r="F487" s="77">
        <v>0</v>
      </c>
      <c r="G487" s="77">
        <v>0</v>
      </c>
      <c r="H487" s="77">
        <v>0</v>
      </c>
      <c r="I487" s="77">
        <v>0</v>
      </c>
      <c r="J487" s="77">
        <v>0</v>
      </c>
      <c r="K487" s="77">
        <v>0</v>
      </c>
      <c r="L487" s="155">
        <v>0</v>
      </c>
      <c r="M487" s="77">
        <v>0</v>
      </c>
      <c r="N487" s="65">
        <v>1624.5</v>
      </c>
      <c r="O487" s="72">
        <v>20071164.039999999</v>
      </c>
      <c r="P487" s="77">
        <v>0</v>
      </c>
      <c r="Q487" s="77">
        <v>0</v>
      </c>
      <c r="R487" s="77">
        <v>0</v>
      </c>
      <c r="S487" s="77">
        <v>0</v>
      </c>
      <c r="T487" s="77">
        <v>0</v>
      </c>
      <c r="U487" s="77">
        <v>0</v>
      </c>
      <c r="V487" s="77">
        <v>0</v>
      </c>
      <c r="W487" s="77">
        <v>0</v>
      </c>
      <c r="X487" s="77">
        <v>0</v>
      </c>
      <c r="Y487" s="77">
        <v>250000</v>
      </c>
      <c r="Z487" s="77">
        <f>ROUND(O487*1.5%,2)</f>
        <v>301067.46000000002</v>
      </c>
      <c r="AA487" s="77">
        <v>0</v>
      </c>
      <c r="AB487" s="70">
        <v>2028</v>
      </c>
      <c r="AC487" s="70">
        <v>2028</v>
      </c>
      <c r="AD487" s="70">
        <v>2028</v>
      </c>
    </row>
    <row r="488" spans="1:30" x14ac:dyDescent="0.25">
      <c r="B488" s="183" t="s">
        <v>743</v>
      </c>
      <c r="C488" s="183"/>
      <c r="D488" s="183"/>
      <c r="E488" s="183"/>
      <c r="F488" s="183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</row>
    <row r="489" spans="1:30" x14ac:dyDescent="0.3">
      <c r="B489" s="104" t="s">
        <v>735</v>
      </c>
      <c r="C489" s="104"/>
      <c r="D489" s="79"/>
      <c r="E489" s="65">
        <f>E490</f>
        <v>16948149.629999999</v>
      </c>
      <c r="F489" s="65">
        <f t="shared" ref="F489:AA490" si="162">F490</f>
        <v>0</v>
      </c>
      <c r="G489" s="65">
        <f t="shared" si="162"/>
        <v>0</v>
      </c>
      <c r="H489" s="65">
        <f t="shared" si="162"/>
        <v>0</v>
      </c>
      <c r="I489" s="65">
        <f t="shared" si="162"/>
        <v>0</v>
      </c>
      <c r="J489" s="65">
        <f t="shared" si="162"/>
        <v>0</v>
      </c>
      <c r="K489" s="65">
        <f t="shared" si="162"/>
        <v>0</v>
      </c>
      <c r="L489" s="80">
        <f t="shared" si="162"/>
        <v>0</v>
      </c>
      <c r="M489" s="65">
        <f t="shared" si="162"/>
        <v>0</v>
      </c>
      <c r="N489" s="65">
        <f t="shared" si="162"/>
        <v>1342.78</v>
      </c>
      <c r="O489" s="65">
        <f t="shared" si="162"/>
        <v>16697684.359999999</v>
      </c>
      <c r="P489" s="65">
        <f t="shared" si="162"/>
        <v>0</v>
      </c>
      <c r="Q489" s="65">
        <f t="shared" si="162"/>
        <v>0</v>
      </c>
      <c r="R489" s="65">
        <f t="shared" si="162"/>
        <v>0</v>
      </c>
      <c r="S489" s="65">
        <f t="shared" si="162"/>
        <v>0</v>
      </c>
      <c r="T489" s="65">
        <f t="shared" si="162"/>
        <v>0</v>
      </c>
      <c r="U489" s="65">
        <f t="shared" si="162"/>
        <v>0</v>
      </c>
      <c r="V489" s="65">
        <f t="shared" si="162"/>
        <v>0</v>
      </c>
      <c r="W489" s="65">
        <f t="shared" si="162"/>
        <v>0</v>
      </c>
      <c r="X489" s="65">
        <f t="shared" si="162"/>
        <v>0</v>
      </c>
      <c r="Y489" s="65">
        <f t="shared" si="162"/>
        <v>0</v>
      </c>
      <c r="Z489" s="65">
        <f t="shared" si="162"/>
        <v>250465.27</v>
      </c>
      <c r="AA489" s="65">
        <f t="shared" si="162"/>
        <v>0</v>
      </c>
      <c r="AB489" s="66" t="s">
        <v>423</v>
      </c>
      <c r="AC489" s="66" t="s">
        <v>423</v>
      </c>
      <c r="AD489" s="66" t="s">
        <v>423</v>
      </c>
    </row>
    <row r="490" spans="1:30" x14ac:dyDescent="0.3">
      <c r="B490" s="104" t="s">
        <v>678</v>
      </c>
      <c r="C490" s="104"/>
      <c r="D490" s="79"/>
      <c r="E490" s="65">
        <f>E491</f>
        <v>16948149.629999999</v>
      </c>
      <c r="F490" s="65">
        <f t="shared" si="162"/>
        <v>0</v>
      </c>
      <c r="G490" s="65">
        <f t="shared" si="162"/>
        <v>0</v>
      </c>
      <c r="H490" s="65">
        <f t="shared" si="162"/>
        <v>0</v>
      </c>
      <c r="I490" s="65">
        <f t="shared" si="162"/>
        <v>0</v>
      </c>
      <c r="J490" s="65">
        <f t="shared" si="162"/>
        <v>0</v>
      </c>
      <c r="K490" s="65">
        <f t="shared" si="162"/>
        <v>0</v>
      </c>
      <c r="L490" s="80">
        <f t="shared" si="162"/>
        <v>0</v>
      </c>
      <c r="M490" s="65">
        <f t="shared" si="162"/>
        <v>0</v>
      </c>
      <c r="N490" s="65">
        <f t="shared" si="162"/>
        <v>1342.78</v>
      </c>
      <c r="O490" s="65">
        <f t="shared" si="162"/>
        <v>16697684.359999999</v>
      </c>
      <c r="P490" s="65">
        <f t="shared" si="162"/>
        <v>0</v>
      </c>
      <c r="Q490" s="65">
        <f t="shared" si="162"/>
        <v>0</v>
      </c>
      <c r="R490" s="65">
        <f t="shared" si="162"/>
        <v>0</v>
      </c>
      <c r="S490" s="65">
        <f t="shared" si="162"/>
        <v>0</v>
      </c>
      <c r="T490" s="65">
        <f t="shared" si="162"/>
        <v>0</v>
      </c>
      <c r="U490" s="65">
        <f t="shared" si="162"/>
        <v>0</v>
      </c>
      <c r="V490" s="65">
        <f t="shared" si="162"/>
        <v>0</v>
      </c>
      <c r="W490" s="65">
        <f t="shared" si="162"/>
        <v>0</v>
      </c>
      <c r="X490" s="65">
        <f t="shared" si="162"/>
        <v>0</v>
      </c>
      <c r="Y490" s="65">
        <f t="shared" si="162"/>
        <v>0</v>
      </c>
      <c r="Z490" s="65">
        <f t="shared" si="162"/>
        <v>250465.27</v>
      </c>
      <c r="AA490" s="65">
        <f t="shared" si="162"/>
        <v>0</v>
      </c>
      <c r="AB490" s="66" t="s">
        <v>423</v>
      </c>
      <c r="AC490" s="66" t="s">
        <v>423</v>
      </c>
      <c r="AD490" s="66" t="s">
        <v>423</v>
      </c>
    </row>
    <row r="491" spans="1:30" x14ac:dyDescent="0.3">
      <c r="B491" s="42">
        <v>1</v>
      </c>
      <c r="C491" s="41" t="s">
        <v>744</v>
      </c>
      <c r="D491" s="79"/>
      <c r="E491" s="72">
        <f t="shared" ref="E491" si="163">F491+G491+H491+I491+J491+K491+M491+O491+Q491+S491+U491+V491+W491+X491+Y491+Z491+AA491</f>
        <v>16948149.629999999</v>
      </c>
      <c r="F491" s="77">
        <v>0</v>
      </c>
      <c r="G491" s="77">
        <v>0</v>
      </c>
      <c r="H491" s="77">
        <v>0</v>
      </c>
      <c r="I491" s="77">
        <v>0</v>
      </c>
      <c r="J491" s="77">
        <v>0</v>
      </c>
      <c r="K491" s="77">
        <v>0</v>
      </c>
      <c r="L491" s="80">
        <v>0</v>
      </c>
      <c r="M491" s="77">
        <v>0</v>
      </c>
      <c r="N491" s="65">
        <v>1342.78</v>
      </c>
      <c r="O491" s="72">
        <v>16697684.359999999</v>
      </c>
      <c r="P491" s="77">
        <v>0</v>
      </c>
      <c r="Q491" s="77">
        <v>0</v>
      </c>
      <c r="R491" s="77">
        <v>0</v>
      </c>
      <c r="S491" s="77">
        <v>0</v>
      </c>
      <c r="T491" s="77">
        <v>0</v>
      </c>
      <c r="U491" s="77">
        <v>0</v>
      </c>
      <c r="V491" s="77">
        <v>0</v>
      </c>
      <c r="W491" s="77">
        <v>0</v>
      </c>
      <c r="X491" s="77">
        <v>0</v>
      </c>
      <c r="Y491" s="77">
        <v>0</v>
      </c>
      <c r="Z491" s="77">
        <f>ROUND(O491*1.5%,2)</f>
        <v>250465.27</v>
      </c>
      <c r="AA491" s="77">
        <v>0</v>
      </c>
      <c r="AB491" s="70" t="s">
        <v>426</v>
      </c>
      <c r="AC491" s="70">
        <v>2026</v>
      </c>
      <c r="AD491" s="70">
        <v>2026</v>
      </c>
    </row>
    <row r="492" spans="1:30" ht="28.5" customHeight="1" x14ac:dyDescent="0.25">
      <c r="A492">
        <v>1</v>
      </c>
      <c r="B492" s="183" t="s">
        <v>722</v>
      </c>
      <c r="C492" s="183"/>
      <c r="D492" s="183"/>
      <c r="E492" s="183"/>
      <c r="F492" s="183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</row>
    <row r="493" spans="1:30" x14ac:dyDescent="0.3">
      <c r="B493" s="104" t="s">
        <v>735</v>
      </c>
      <c r="C493" s="104"/>
      <c r="D493" s="84"/>
      <c r="E493" s="72">
        <f>E494+E499+E503+E506</f>
        <v>90752109.560000002</v>
      </c>
      <c r="F493" s="72">
        <f t="shared" ref="F493:AA493" si="164">F494+F499+F503+F506</f>
        <v>0</v>
      </c>
      <c r="G493" s="72">
        <f t="shared" si="164"/>
        <v>0</v>
      </c>
      <c r="H493" s="72">
        <f t="shared" si="164"/>
        <v>0</v>
      </c>
      <c r="I493" s="72">
        <f t="shared" si="164"/>
        <v>0</v>
      </c>
      <c r="J493" s="72">
        <f t="shared" si="164"/>
        <v>0</v>
      </c>
      <c r="K493" s="72">
        <f t="shared" si="164"/>
        <v>0</v>
      </c>
      <c r="L493" s="80">
        <f t="shared" si="164"/>
        <v>0</v>
      </c>
      <c r="M493" s="72">
        <f t="shared" si="164"/>
        <v>0</v>
      </c>
      <c r="N493" s="72">
        <f t="shared" si="164"/>
        <v>8328.2899999999991</v>
      </c>
      <c r="O493" s="72">
        <f t="shared" si="164"/>
        <v>89410945.390000001</v>
      </c>
      <c r="P493" s="72">
        <f t="shared" si="164"/>
        <v>0</v>
      </c>
      <c r="Q493" s="72">
        <f t="shared" si="164"/>
        <v>0</v>
      </c>
      <c r="R493" s="72">
        <f t="shared" si="164"/>
        <v>0</v>
      </c>
      <c r="S493" s="72">
        <f t="shared" si="164"/>
        <v>0</v>
      </c>
      <c r="T493" s="72">
        <f t="shared" si="164"/>
        <v>0</v>
      </c>
      <c r="U493" s="72">
        <f t="shared" si="164"/>
        <v>0</v>
      </c>
      <c r="V493" s="72">
        <f t="shared" si="164"/>
        <v>0</v>
      </c>
      <c r="W493" s="72">
        <f t="shared" si="164"/>
        <v>0</v>
      </c>
      <c r="X493" s="72">
        <f t="shared" si="164"/>
        <v>0</v>
      </c>
      <c r="Y493" s="72">
        <f t="shared" si="164"/>
        <v>0</v>
      </c>
      <c r="Z493" s="72">
        <f t="shared" si="164"/>
        <v>1341164.1700000002</v>
      </c>
      <c r="AA493" s="72">
        <f t="shared" si="164"/>
        <v>0</v>
      </c>
      <c r="AB493" s="59" t="s">
        <v>723</v>
      </c>
      <c r="AC493" s="59" t="s">
        <v>723</v>
      </c>
      <c r="AD493" s="59" t="s">
        <v>723</v>
      </c>
    </row>
    <row r="494" spans="1:30" x14ac:dyDescent="0.3">
      <c r="B494" s="104" t="s">
        <v>414</v>
      </c>
      <c r="C494" s="104"/>
      <c r="D494" s="84"/>
      <c r="E494" s="72">
        <f>SUM(E495:E498)</f>
        <v>40658965.229999997</v>
      </c>
      <c r="F494" s="72">
        <f t="shared" ref="F494:AA494" si="165">SUM(F495:F498)</f>
        <v>0</v>
      </c>
      <c r="G494" s="72">
        <f t="shared" si="165"/>
        <v>0</v>
      </c>
      <c r="H494" s="72">
        <f t="shared" si="165"/>
        <v>0</v>
      </c>
      <c r="I494" s="72">
        <f t="shared" si="165"/>
        <v>0</v>
      </c>
      <c r="J494" s="72">
        <f t="shared" si="165"/>
        <v>0</v>
      </c>
      <c r="K494" s="72">
        <f t="shared" si="165"/>
        <v>0</v>
      </c>
      <c r="L494" s="80">
        <f t="shared" si="165"/>
        <v>0</v>
      </c>
      <c r="M494" s="72">
        <f t="shared" si="165"/>
        <v>0</v>
      </c>
      <c r="N494" s="72">
        <f t="shared" si="165"/>
        <v>3852.16</v>
      </c>
      <c r="O494" s="72">
        <f t="shared" si="165"/>
        <v>40058093.829999998</v>
      </c>
      <c r="P494" s="72">
        <f t="shared" si="165"/>
        <v>0</v>
      </c>
      <c r="Q494" s="72">
        <f t="shared" si="165"/>
        <v>0</v>
      </c>
      <c r="R494" s="72">
        <f t="shared" si="165"/>
        <v>0</v>
      </c>
      <c r="S494" s="72">
        <f t="shared" si="165"/>
        <v>0</v>
      </c>
      <c r="T494" s="72">
        <f t="shared" si="165"/>
        <v>0</v>
      </c>
      <c r="U494" s="72">
        <f t="shared" si="165"/>
        <v>0</v>
      </c>
      <c r="V494" s="72">
        <f t="shared" si="165"/>
        <v>0</v>
      </c>
      <c r="W494" s="72">
        <f t="shared" si="165"/>
        <v>0</v>
      </c>
      <c r="X494" s="72">
        <f t="shared" si="165"/>
        <v>0</v>
      </c>
      <c r="Y494" s="72">
        <f t="shared" si="165"/>
        <v>0</v>
      </c>
      <c r="Z494" s="72">
        <f t="shared" si="165"/>
        <v>600871.4</v>
      </c>
      <c r="AA494" s="72">
        <f t="shared" si="165"/>
        <v>0</v>
      </c>
      <c r="AB494" s="59" t="s">
        <v>723</v>
      </c>
      <c r="AC494" s="59" t="s">
        <v>723</v>
      </c>
      <c r="AD494" s="59" t="s">
        <v>723</v>
      </c>
    </row>
    <row r="495" spans="1:30" x14ac:dyDescent="0.3">
      <c r="B495" s="42">
        <v>1</v>
      </c>
      <c r="C495" s="41" t="s">
        <v>724</v>
      </c>
      <c r="D495" s="88"/>
      <c r="E495" s="72">
        <f t="shared" ref="E495:E498" si="166">F495+G495+H495+I495+J495+K495+M495+O495+Q495+S495+U495+V495+W495+X495+Y495+Z495+AA495</f>
        <v>16256177.220000001</v>
      </c>
      <c r="F495" s="74">
        <v>0</v>
      </c>
      <c r="G495" s="74">
        <v>0</v>
      </c>
      <c r="H495" s="74">
        <v>0</v>
      </c>
      <c r="I495" s="74">
        <v>0</v>
      </c>
      <c r="J495" s="74">
        <v>0</v>
      </c>
      <c r="K495" s="74">
        <v>0</v>
      </c>
      <c r="L495" s="105">
        <v>0</v>
      </c>
      <c r="M495" s="74">
        <v>0</v>
      </c>
      <c r="N495" s="77">
        <v>1465.16</v>
      </c>
      <c r="O495" s="71">
        <v>16015938.15</v>
      </c>
      <c r="P495" s="74">
        <v>0</v>
      </c>
      <c r="Q495" s="74">
        <v>0</v>
      </c>
      <c r="R495" s="74">
        <v>0</v>
      </c>
      <c r="S495" s="74">
        <v>0</v>
      </c>
      <c r="T495" s="74">
        <v>0</v>
      </c>
      <c r="U495" s="74">
        <v>0</v>
      </c>
      <c r="V495" s="74">
        <v>0</v>
      </c>
      <c r="W495" s="74">
        <v>0</v>
      </c>
      <c r="X495" s="74">
        <v>0</v>
      </c>
      <c r="Y495" s="76">
        <v>0</v>
      </c>
      <c r="Z495" s="72">
        <f>ROUND(O495*1.5%,2)</f>
        <v>240239.07</v>
      </c>
      <c r="AA495" s="76">
        <v>0</v>
      </c>
      <c r="AB495" s="79" t="s">
        <v>426</v>
      </c>
      <c r="AC495" s="92">
        <v>2026</v>
      </c>
      <c r="AD495" s="92">
        <v>2026</v>
      </c>
    </row>
    <row r="496" spans="1:30" x14ac:dyDescent="0.3">
      <c r="B496" s="42">
        <v>2</v>
      </c>
      <c r="C496" s="41" t="s">
        <v>725</v>
      </c>
      <c r="D496" s="88"/>
      <c r="E496" s="72">
        <f t="shared" si="166"/>
        <v>11171729.619999999</v>
      </c>
      <c r="F496" s="74">
        <v>0</v>
      </c>
      <c r="G496" s="74">
        <v>0</v>
      </c>
      <c r="H496" s="74">
        <v>0</v>
      </c>
      <c r="I496" s="74">
        <v>0</v>
      </c>
      <c r="J496" s="74">
        <v>0</v>
      </c>
      <c r="K496" s="74">
        <v>0</v>
      </c>
      <c r="L496" s="105">
        <v>0</v>
      </c>
      <c r="M496" s="74">
        <v>0</v>
      </c>
      <c r="N496" s="74">
        <v>1197</v>
      </c>
      <c r="O496" s="71">
        <v>11006630.17</v>
      </c>
      <c r="P496" s="74">
        <v>0</v>
      </c>
      <c r="Q496" s="74">
        <v>0</v>
      </c>
      <c r="R496" s="74">
        <v>0</v>
      </c>
      <c r="S496" s="74">
        <v>0</v>
      </c>
      <c r="T496" s="74">
        <v>0</v>
      </c>
      <c r="U496" s="74">
        <v>0</v>
      </c>
      <c r="V496" s="74">
        <v>0</v>
      </c>
      <c r="W496" s="74">
        <v>0</v>
      </c>
      <c r="X496" s="74">
        <v>0</v>
      </c>
      <c r="Y496" s="76">
        <v>0</v>
      </c>
      <c r="Z496" s="72">
        <f t="shared" ref="Z496:Z507" si="167">ROUND(O496*1.5%,2)</f>
        <v>165099.45000000001</v>
      </c>
      <c r="AA496" s="76">
        <v>0</v>
      </c>
      <c r="AB496" s="79" t="s">
        <v>426</v>
      </c>
      <c r="AC496" s="92">
        <v>2026</v>
      </c>
      <c r="AD496" s="92">
        <v>2026</v>
      </c>
    </row>
    <row r="497" spans="2:30" x14ac:dyDescent="0.3">
      <c r="B497" s="42">
        <v>3</v>
      </c>
      <c r="C497" s="41" t="s">
        <v>726</v>
      </c>
      <c r="D497" s="88"/>
      <c r="E497" s="72">
        <f t="shared" si="166"/>
        <v>7074895.2399999993</v>
      </c>
      <c r="F497" s="74">
        <v>0</v>
      </c>
      <c r="G497" s="74">
        <v>0</v>
      </c>
      <c r="H497" s="74">
        <v>0</v>
      </c>
      <c r="I497" s="74">
        <v>0</v>
      </c>
      <c r="J497" s="74">
        <v>0</v>
      </c>
      <c r="K497" s="74">
        <v>0</v>
      </c>
      <c r="L497" s="105">
        <v>0</v>
      </c>
      <c r="M497" s="74">
        <v>0</v>
      </c>
      <c r="N497" s="74">
        <v>608</v>
      </c>
      <c r="O497" s="71">
        <v>6970340.1399999997</v>
      </c>
      <c r="P497" s="74">
        <v>0</v>
      </c>
      <c r="Q497" s="74">
        <v>0</v>
      </c>
      <c r="R497" s="74">
        <v>0</v>
      </c>
      <c r="S497" s="74">
        <v>0</v>
      </c>
      <c r="T497" s="74">
        <v>0</v>
      </c>
      <c r="U497" s="74">
        <v>0</v>
      </c>
      <c r="V497" s="74">
        <v>0</v>
      </c>
      <c r="W497" s="74">
        <v>0</v>
      </c>
      <c r="X497" s="74">
        <v>0</v>
      </c>
      <c r="Y497" s="76">
        <v>0</v>
      </c>
      <c r="Z497" s="72">
        <f t="shared" si="167"/>
        <v>104555.1</v>
      </c>
      <c r="AA497" s="76">
        <v>0</v>
      </c>
      <c r="AB497" s="79" t="s">
        <v>426</v>
      </c>
      <c r="AC497" s="92">
        <v>2026</v>
      </c>
      <c r="AD497" s="92">
        <v>2026</v>
      </c>
    </row>
    <row r="498" spans="2:30" x14ac:dyDescent="0.3">
      <c r="B498" s="42">
        <v>4</v>
      </c>
      <c r="C498" s="41" t="s">
        <v>727</v>
      </c>
      <c r="D498" s="88"/>
      <c r="E498" s="72">
        <f t="shared" si="166"/>
        <v>6156163.1500000004</v>
      </c>
      <c r="F498" s="74">
        <v>0</v>
      </c>
      <c r="G498" s="74">
        <v>0</v>
      </c>
      <c r="H498" s="74">
        <v>0</v>
      </c>
      <c r="I498" s="74">
        <v>0</v>
      </c>
      <c r="J498" s="74">
        <v>0</v>
      </c>
      <c r="K498" s="74">
        <v>0</v>
      </c>
      <c r="L498" s="105">
        <v>0</v>
      </c>
      <c r="M498" s="74">
        <v>0</v>
      </c>
      <c r="N498" s="74">
        <v>582</v>
      </c>
      <c r="O498" s="71">
        <v>6065185.3700000001</v>
      </c>
      <c r="P498" s="74">
        <v>0</v>
      </c>
      <c r="Q498" s="74">
        <v>0</v>
      </c>
      <c r="R498" s="74">
        <v>0</v>
      </c>
      <c r="S498" s="74">
        <v>0</v>
      </c>
      <c r="T498" s="74">
        <v>0</v>
      </c>
      <c r="U498" s="74">
        <v>0</v>
      </c>
      <c r="V498" s="74">
        <v>0</v>
      </c>
      <c r="W498" s="74">
        <v>0</v>
      </c>
      <c r="X498" s="74">
        <v>0</v>
      </c>
      <c r="Y498" s="76">
        <v>0</v>
      </c>
      <c r="Z498" s="72">
        <f t="shared" si="167"/>
        <v>90977.78</v>
      </c>
      <c r="AA498" s="76">
        <v>0</v>
      </c>
      <c r="AB498" s="79" t="s">
        <v>426</v>
      </c>
      <c r="AC498" s="92">
        <v>2026</v>
      </c>
      <c r="AD498" s="92">
        <v>2026</v>
      </c>
    </row>
    <row r="499" spans="2:30" x14ac:dyDescent="0.3">
      <c r="B499" s="104" t="s">
        <v>222</v>
      </c>
      <c r="C499" s="41"/>
      <c r="D499" s="88"/>
      <c r="E499" s="74">
        <f>E500+E501+E502</f>
        <v>23296736.300000001</v>
      </c>
      <c r="F499" s="74">
        <f t="shared" ref="F499:AA499" si="168">F500+F501+F502</f>
        <v>0</v>
      </c>
      <c r="G499" s="74">
        <f t="shared" si="168"/>
        <v>0</v>
      </c>
      <c r="H499" s="74">
        <f t="shared" si="168"/>
        <v>0</v>
      </c>
      <c r="I499" s="74">
        <f t="shared" si="168"/>
        <v>0</v>
      </c>
      <c r="J499" s="74">
        <f t="shared" si="168"/>
        <v>0</v>
      </c>
      <c r="K499" s="74">
        <f t="shared" si="168"/>
        <v>0</v>
      </c>
      <c r="L499" s="80">
        <f t="shared" si="168"/>
        <v>0</v>
      </c>
      <c r="M499" s="74">
        <f t="shared" si="168"/>
        <v>0</v>
      </c>
      <c r="N499" s="74">
        <f t="shared" si="168"/>
        <v>1873.1200000000001</v>
      </c>
      <c r="O499" s="74">
        <f t="shared" si="168"/>
        <v>22952449.560000002</v>
      </c>
      <c r="P499" s="74">
        <f t="shared" si="168"/>
        <v>0</v>
      </c>
      <c r="Q499" s="74">
        <f t="shared" si="168"/>
        <v>0</v>
      </c>
      <c r="R499" s="74">
        <f t="shared" si="168"/>
        <v>0</v>
      </c>
      <c r="S499" s="74">
        <f t="shared" si="168"/>
        <v>0</v>
      </c>
      <c r="T499" s="74">
        <f t="shared" si="168"/>
        <v>0</v>
      </c>
      <c r="U499" s="74">
        <f t="shared" si="168"/>
        <v>0</v>
      </c>
      <c r="V499" s="74">
        <f t="shared" si="168"/>
        <v>0</v>
      </c>
      <c r="W499" s="74">
        <f t="shared" si="168"/>
        <v>0</v>
      </c>
      <c r="X499" s="74">
        <f t="shared" si="168"/>
        <v>0</v>
      </c>
      <c r="Y499" s="74">
        <f t="shared" si="168"/>
        <v>0</v>
      </c>
      <c r="Z499" s="74">
        <f t="shared" si="168"/>
        <v>344286.74</v>
      </c>
      <c r="AA499" s="74">
        <f t="shared" si="168"/>
        <v>0</v>
      </c>
      <c r="AB499" s="59" t="s">
        <v>723</v>
      </c>
      <c r="AC499" s="59" t="s">
        <v>723</v>
      </c>
      <c r="AD499" s="59" t="s">
        <v>723</v>
      </c>
    </row>
    <row r="500" spans="2:30" x14ac:dyDescent="0.3">
      <c r="B500" s="42">
        <v>5</v>
      </c>
      <c r="C500" s="41" t="s">
        <v>728</v>
      </c>
      <c r="D500" s="88"/>
      <c r="E500" s="72">
        <f>F500+G500+H500+I500+J500+K500+M500+O500+Q500+S500+U500+V500+W500+X500+Y500+Z500+AA500</f>
        <v>9896723.6400000006</v>
      </c>
      <c r="F500" s="74">
        <v>0</v>
      </c>
      <c r="G500" s="74">
        <v>0</v>
      </c>
      <c r="H500" s="74">
        <v>0</v>
      </c>
      <c r="I500" s="74">
        <v>0</v>
      </c>
      <c r="J500" s="74">
        <v>0</v>
      </c>
      <c r="K500" s="74">
        <v>0</v>
      </c>
      <c r="L500" s="105">
        <v>0</v>
      </c>
      <c r="M500" s="74">
        <v>0</v>
      </c>
      <c r="N500" s="74">
        <v>793</v>
      </c>
      <c r="O500" s="71">
        <v>9750466.6400000006</v>
      </c>
      <c r="P500" s="74">
        <v>0</v>
      </c>
      <c r="Q500" s="74">
        <v>0</v>
      </c>
      <c r="R500" s="74">
        <v>0</v>
      </c>
      <c r="S500" s="74">
        <v>0</v>
      </c>
      <c r="T500" s="74">
        <v>0</v>
      </c>
      <c r="U500" s="74">
        <v>0</v>
      </c>
      <c r="V500" s="74">
        <v>0</v>
      </c>
      <c r="W500" s="74">
        <v>0</v>
      </c>
      <c r="X500" s="74">
        <v>0</v>
      </c>
      <c r="Y500" s="76">
        <v>0</v>
      </c>
      <c r="Z500" s="72">
        <f t="shared" si="167"/>
        <v>146257</v>
      </c>
      <c r="AA500" s="76">
        <v>0</v>
      </c>
      <c r="AB500" s="79" t="s">
        <v>426</v>
      </c>
      <c r="AC500" s="92">
        <v>2026</v>
      </c>
      <c r="AD500" s="92">
        <v>2026</v>
      </c>
    </row>
    <row r="501" spans="2:30" x14ac:dyDescent="0.3">
      <c r="B501" s="42">
        <v>6</v>
      </c>
      <c r="C501" s="41" t="s">
        <v>729</v>
      </c>
      <c r="D501" s="88"/>
      <c r="E501" s="72">
        <f t="shared" ref="E501:E502" si="169">F501+G501+H501+I501+J501+K501+M501+O501+Q501+S501+U501+V501+W501+X501+Y501+Z501+AA501</f>
        <v>7484470.2299999995</v>
      </c>
      <c r="F501" s="74">
        <v>0</v>
      </c>
      <c r="G501" s="74">
        <v>0</v>
      </c>
      <c r="H501" s="74">
        <v>0</v>
      </c>
      <c r="I501" s="74">
        <v>0</v>
      </c>
      <c r="J501" s="74">
        <v>0</v>
      </c>
      <c r="K501" s="74">
        <v>0</v>
      </c>
      <c r="L501" s="105">
        <v>0</v>
      </c>
      <c r="M501" s="74">
        <v>0</v>
      </c>
      <c r="N501" s="74">
        <v>602.82000000000005</v>
      </c>
      <c r="O501" s="71">
        <v>7373862.2999999998</v>
      </c>
      <c r="P501" s="74">
        <v>0</v>
      </c>
      <c r="Q501" s="74">
        <v>0</v>
      </c>
      <c r="R501" s="74">
        <v>0</v>
      </c>
      <c r="S501" s="74">
        <v>0</v>
      </c>
      <c r="T501" s="74">
        <v>0</v>
      </c>
      <c r="U501" s="74">
        <v>0</v>
      </c>
      <c r="V501" s="74">
        <v>0</v>
      </c>
      <c r="W501" s="74">
        <v>0</v>
      </c>
      <c r="X501" s="74">
        <v>0</v>
      </c>
      <c r="Y501" s="76">
        <v>0</v>
      </c>
      <c r="Z501" s="72">
        <f t="shared" si="167"/>
        <v>110607.93</v>
      </c>
      <c r="AA501" s="76">
        <v>0</v>
      </c>
      <c r="AB501" s="79" t="s">
        <v>426</v>
      </c>
      <c r="AC501" s="92">
        <v>2026</v>
      </c>
      <c r="AD501" s="92">
        <v>2026</v>
      </c>
    </row>
    <row r="502" spans="2:30" x14ac:dyDescent="0.3">
      <c r="B502" s="42">
        <v>7</v>
      </c>
      <c r="C502" s="41" t="s">
        <v>730</v>
      </c>
      <c r="D502" s="88"/>
      <c r="E502" s="72">
        <f t="shared" si="169"/>
        <v>5915542.4299999997</v>
      </c>
      <c r="F502" s="74">
        <v>0</v>
      </c>
      <c r="G502" s="74">
        <v>0</v>
      </c>
      <c r="H502" s="74">
        <v>0</v>
      </c>
      <c r="I502" s="74">
        <v>0</v>
      </c>
      <c r="J502" s="74">
        <v>0</v>
      </c>
      <c r="K502" s="74">
        <v>0</v>
      </c>
      <c r="L502" s="105">
        <v>0</v>
      </c>
      <c r="M502" s="74">
        <v>0</v>
      </c>
      <c r="N502" s="74">
        <v>477.3</v>
      </c>
      <c r="O502" s="71">
        <v>5828120.6200000001</v>
      </c>
      <c r="P502" s="74">
        <v>0</v>
      </c>
      <c r="Q502" s="74">
        <v>0</v>
      </c>
      <c r="R502" s="74">
        <v>0</v>
      </c>
      <c r="S502" s="74">
        <v>0</v>
      </c>
      <c r="T502" s="74">
        <v>0</v>
      </c>
      <c r="U502" s="74">
        <v>0</v>
      </c>
      <c r="V502" s="74">
        <v>0</v>
      </c>
      <c r="W502" s="74">
        <v>0</v>
      </c>
      <c r="X502" s="74">
        <v>0</v>
      </c>
      <c r="Y502" s="76">
        <v>0</v>
      </c>
      <c r="Z502" s="72">
        <f t="shared" si="167"/>
        <v>87421.81</v>
      </c>
      <c r="AA502" s="76">
        <v>0</v>
      </c>
      <c r="AB502" s="79" t="s">
        <v>426</v>
      </c>
      <c r="AC502" s="92">
        <v>2026</v>
      </c>
      <c r="AD502" s="92">
        <v>2026</v>
      </c>
    </row>
    <row r="503" spans="2:30" x14ac:dyDescent="0.3">
      <c r="B503" s="104" t="s">
        <v>690</v>
      </c>
      <c r="C503" s="41"/>
      <c r="D503" s="88"/>
      <c r="E503" s="74">
        <f>E504+E505</f>
        <v>22426588.810000002</v>
      </c>
      <c r="F503" s="74">
        <f t="shared" ref="F503:AA503" si="170">F504+F505</f>
        <v>0</v>
      </c>
      <c r="G503" s="74">
        <f t="shared" si="170"/>
        <v>0</v>
      </c>
      <c r="H503" s="74">
        <f t="shared" si="170"/>
        <v>0</v>
      </c>
      <c r="I503" s="74">
        <f t="shared" si="170"/>
        <v>0</v>
      </c>
      <c r="J503" s="74">
        <f t="shared" si="170"/>
        <v>0</v>
      </c>
      <c r="K503" s="74">
        <f t="shared" si="170"/>
        <v>0</v>
      </c>
      <c r="L503" s="80">
        <f t="shared" si="170"/>
        <v>0</v>
      </c>
      <c r="M503" s="74">
        <f t="shared" si="170"/>
        <v>0</v>
      </c>
      <c r="N503" s="74">
        <f t="shared" si="170"/>
        <v>1877.5</v>
      </c>
      <c r="O503" s="74">
        <f t="shared" si="170"/>
        <v>22095161.390000001</v>
      </c>
      <c r="P503" s="74">
        <f t="shared" si="170"/>
        <v>0</v>
      </c>
      <c r="Q503" s="74">
        <f t="shared" si="170"/>
        <v>0</v>
      </c>
      <c r="R503" s="74">
        <f t="shared" si="170"/>
        <v>0</v>
      </c>
      <c r="S503" s="74">
        <f t="shared" si="170"/>
        <v>0</v>
      </c>
      <c r="T503" s="74">
        <f t="shared" si="170"/>
        <v>0</v>
      </c>
      <c r="U503" s="74">
        <f t="shared" si="170"/>
        <v>0</v>
      </c>
      <c r="V503" s="74">
        <f t="shared" si="170"/>
        <v>0</v>
      </c>
      <c r="W503" s="74">
        <f t="shared" si="170"/>
        <v>0</v>
      </c>
      <c r="X503" s="74">
        <f t="shared" si="170"/>
        <v>0</v>
      </c>
      <c r="Y503" s="74">
        <f t="shared" si="170"/>
        <v>0</v>
      </c>
      <c r="Z503" s="74">
        <f t="shared" si="170"/>
        <v>331427.42</v>
      </c>
      <c r="AA503" s="74">
        <f t="shared" si="170"/>
        <v>0</v>
      </c>
      <c r="AB503" s="59" t="s">
        <v>723</v>
      </c>
      <c r="AC503" s="59" t="s">
        <v>723</v>
      </c>
      <c r="AD503" s="59" t="s">
        <v>723</v>
      </c>
    </row>
    <row r="504" spans="2:30" x14ac:dyDescent="0.3">
      <c r="B504" s="42">
        <v>8</v>
      </c>
      <c r="C504" s="41" t="s">
        <v>731</v>
      </c>
      <c r="D504" s="88"/>
      <c r="E504" s="72">
        <f>F504+G504+H504+I504+J504+K504+M504+O504+Q504+S504+U504+V504+W504+X504+Y504+Z504+AA504</f>
        <v>12819988.710000001</v>
      </c>
      <c r="F504" s="74">
        <v>0</v>
      </c>
      <c r="G504" s="74">
        <v>0</v>
      </c>
      <c r="H504" s="74">
        <v>0</v>
      </c>
      <c r="I504" s="74">
        <v>0</v>
      </c>
      <c r="J504" s="74">
        <v>0</v>
      </c>
      <c r="K504" s="74">
        <v>0</v>
      </c>
      <c r="L504" s="105">
        <v>0</v>
      </c>
      <c r="M504" s="74">
        <v>0</v>
      </c>
      <c r="N504" s="74">
        <v>1067.2</v>
      </c>
      <c r="O504" s="71">
        <v>12630530.75</v>
      </c>
      <c r="P504" s="74">
        <v>0</v>
      </c>
      <c r="Q504" s="74">
        <v>0</v>
      </c>
      <c r="R504" s="74">
        <v>0</v>
      </c>
      <c r="S504" s="74">
        <v>0</v>
      </c>
      <c r="T504" s="74">
        <v>0</v>
      </c>
      <c r="U504" s="74">
        <v>0</v>
      </c>
      <c r="V504" s="74">
        <v>0</v>
      </c>
      <c r="W504" s="74">
        <v>0</v>
      </c>
      <c r="X504" s="74">
        <v>0</v>
      </c>
      <c r="Y504" s="76">
        <v>0</v>
      </c>
      <c r="Z504" s="72">
        <f t="shared" si="167"/>
        <v>189457.96</v>
      </c>
      <c r="AA504" s="76">
        <v>0</v>
      </c>
      <c r="AB504" s="79" t="s">
        <v>426</v>
      </c>
      <c r="AC504" s="92">
        <v>2026</v>
      </c>
      <c r="AD504" s="92">
        <v>2026</v>
      </c>
    </row>
    <row r="505" spans="2:30" x14ac:dyDescent="0.3">
      <c r="B505" s="42">
        <v>9</v>
      </c>
      <c r="C505" s="41" t="s">
        <v>732</v>
      </c>
      <c r="D505" s="88"/>
      <c r="E505" s="72">
        <f>F505+G505+H505+I505+J505+K505+M505+O505+Q505+S505+U505+V505+W505+X505+Y505+Z505+AA505</f>
        <v>9606600.1000000015</v>
      </c>
      <c r="F505" s="74">
        <v>0</v>
      </c>
      <c r="G505" s="74">
        <v>0</v>
      </c>
      <c r="H505" s="74">
        <v>0</v>
      </c>
      <c r="I505" s="74">
        <v>0</v>
      </c>
      <c r="J505" s="74">
        <v>0</v>
      </c>
      <c r="K505" s="74">
        <v>0</v>
      </c>
      <c r="L505" s="105">
        <v>0</v>
      </c>
      <c r="M505" s="74">
        <v>0</v>
      </c>
      <c r="N505" s="74">
        <v>810.3</v>
      </c>
      <c r="O505" s="71">
        <v>9464630.6400000006</v>
      </c>
      <c r="P505" s="74">
        <v>0</v>
      </c>
      <c r="Q505" s="74">
        <v>0</v>
      </c>
      <c r="R505" s="74">
        <v>0</v>
      </c>
      <c r="S505" s="74">
        <v>0</v>
      </c>
      <c r="T505" s="74">
        <v>0</v>
      </c>
      <c r="U505" s="74">
        <v>0</v>
      </c>
      <c r="V505" s="74">
        <v>0</v>
      </c>
      <c r="W505" s="74">
        <v>0</v>
      </c>
      <c r="X505" s="74">
        <v>0</v>
      </c>
      <c r="Y505" s="76">
        <v>0</v>
      </c>
      <c r="Z505" s="72">
        <f t="shared" si="167"/>
        <v>141969.46</v>
      </c>
      <c r="AA505" s="76">
        <v>0</v>
      </c>
      <c r="AB505" s="79" t="s">
        <v>426</v>
      </c>
      <c r="AC505" s="92">
        <v>2026</v>
      </c>
      <c r="AD505" s="92">
        <v>2026</v>
      </c>
    </row>
    <row r="506" spans="2:30" x14ac:dyDescent="0.3">
      <c r="B506" s="104" t="s">
        <v>691</v>
      </c>
      <c r="C506" s="41"/>
      <c r="D506" s="88"/>
      <c r="E506" s="74">
        <f>E507</f>
        <v>4369819.2200000007</v>
      </c>
      <c r="F506" s="74">
        <f t="shared" ref="F506:AA506" si="171">F507</f>
        <v>0</v>
      </c>
      <c r="G506" s="74">
        <f t="shared" si="171"/>
        <v>0</v>
      </c>
      <c r="H506" s="74">
        <f t="shared" si="171"/>
        <v>0</v>
      </c>
      <c r="I506" s="74">
        <f t="shared" si="171"/>
        <v>0</v>
      </c>
      <c r="J506" s="74">
        <f t="shared" si="171"/>
        <v>0</v>
      </c>
      <c r="K506" s="74">
        <f t="shared" si="171"/>
        <v>0</v>
      </c>
      <c r="L506" s="80">
        <f t="shared" si="171"/>
        <v>0</v>
      </c>
      <c r="M506" s="74">
        <f t="shared" si="171"/>
        <v>0</v>
      </c>
      <c r="N506" s="74">
        <f t="shared" si="171"/>
        <v>725.51</v>
      </c>
      <c r="O506" s="74">
        <f t="shared" si="171"/>
        <v>4305240.6100000003</v>
      </c>
      <c r="P506" s="74">
        <f t="shared" si="171"/>
        <v>0</v>
      </c>
      <c r="Q506" s="74">
        <f t="shared" si="171"/>
        <v>0</v>
      </c>
      <c r="R506" s="74">
        <f t="shared" si="171"/>
        <v>0</v>
      </c>
      <c r="S506" s="74">
        <f t="shared" si="171"/>
        <v>0</v>
      </c>
      <c r="T506" s="74">
        <f t="shared" si="171"/>
        <v>0</v>
      </c>
      <c r="U506" s="74">
        <f t="shared" si="171"/>
        <v>0</v>
      </c>
      <c r="V506" s="74">
        <f t="shared" si="171"/>
        <v>0</v>
      </c>
      <c r="W506" s="74">
        <f t="shared" si="171"/>
        <v>0</v>
      </c>
      <c r="X506" s="74">
        <f t="shared" si="171"/>
        <v>0</v>
      </c>
      <c r="Y506" s="74">
        <f t="shared" si="171"/>
        <v>0</v>
      </c>
      <c r="Z506" s="74">
        <f t="shared" si="171"/>
        <v>64578.61</v>
      </c>
      <c r="AA506" s="74">
        <f t="shared" si="171"/>
        <v>0</v>
      </c>
      <c r="AB506" s="59" t="s">
        <v>723</v>
      </c>
      <c r="AC506" s="59" t="s">
        <v>723</v>
      </c>
      <c r="AD506" s="59" t="s">
        <v>723</v>
      </c>
    </row>
    <row r="507" spans="2:30" x14ac:dyDescent="0.3">
      <c r="B507" s="42">
        <v>10</v>
      </c>
      <c r="C507" s="41" t="s">
        <v>733</v>
      </c>
      <c r="D507" s="88"/>
      <c r="E507" s="72">
        <f>F507+G507+H507+I507+J507+K507+M507+O507+Q507+S507+U507+V507+W507+X507+Y507+Z507+AA507</f>
        <v>4369819.2200000007</v>
      </c>
      <c r="F507" s="74">
        <v>0</v>
      </c>
      <c r="G507" s="74">
        <v>0</v>
      </c>
      <c r="H507" s="74">
        <v>0</v>
      </c>
      <c r="I507" s="74">
        <v>0</v>
      </c>
      <c r="J507" s="74">
        <v>0</v>
      </c>
      <c r="K507" s="74">
        <v>0</v>
      </c>
      <c r="L507" s="105">
        <v>0</v>
      </c>
      <c r="M507" s="74">
        <v>0</v>
      </c>
      <c r="N507" s="74">
        <v>725.51</v>
      </c>
      <c r="O507" s="71">
        <v>4305240.6100000003</v>
      </c>
      <c r="P507" s="74">
        <v>0</v>
      </c>
      <c r="Q507" s="74">
        <v>0</v>
      </c>
      <c r="R507" s="74">
        <v>0</v>
      </c>
      <c r="S507" s="74">
        <v>0</v>
      </c>
      <c r="T507" s="74">
        <v>0</v>
      </c>
      <c r="U507" s="74">
        <v>0</v>
      </c>
      <c r="V507" s="74">
        <v>0</v>
      </c>
      <c r="W507" s="74">
        <v>0</v>
      </c>
      <c r="X507" s="74">
        <v>0</v>
      </c>
      <c r="Y507" s="76">
        <v>0</v>
      </c>
      <c r="Z507" s="72">
        <f t="shared" si="167"/>
        <v>64578.61</v>
      </c>
      <c r="AA507" s="76">
        <v>0</v>
      </c>
      <c r="AB507" s="79" t="s">
        <v>426</v>
      </c>
      <c r="AC507" s="92">
        <v>2026</v>
      </c>
      <c r="AD507" s="92">
        <v>2026</v>
      </c>
    </row>
  </sheetData>
  <mergeCells count="34">
    <mergeCell ref="B492:AD492"/>
    <mergeCell ref="B488:AD488"/>
    <mergeCell ref="AB8:AB14"/>
    <mergeCell ref="AC8:AC14"/>
    <mergeCell ref="AD8:AD14"/>
    <mergeCell ref="Y9:Y13"/>
    <mergeCell ref="Z9:Z13"/>
    <mergeCell ref="AA9:AA13"/>
    <mergeCell ref="F10:F13"/>
    <mergeCell ref="G10:G13"/>
    <mergeCell ref="H10:H13"/>
    <mergeCell ref="I10:I13"/>
    <mergeCell ref="J10:J13"/>
    <mergeCell ref="N9:O13"/>
    <mergeCell ref="K10:K13"/>
    <mergeCell ref="AB1:AD1"/>
    <mergeCell ref="Y2:AD2"/>
    <mergeCell ref="AA3:AD3"/>
    <mergeCell ref="B4:AD4"/>
    <mergeCell ref="B5:AD5"/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</mergeCells>
  <conditionalFormatting sqref="C80:C94">
    <cfRule type="duplicateValues" dxfId="8" priority="2"/>
  </conditionalFormatting>
  <conditionalFormatting sqref="C400:C413">
    <cfRule type="duplicateValues" dxfId="7" priority="1"/>
  </conditionalFormatting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R11596"/>
  <sheetViews>
    <sheetView topLeftCell="B1" zoomScale="30" zoomScaleNormal="30" workbookViewId="0">
      <selection activeCell="O13" sqref="O13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116" customWidth="1"/>
    <col min="8" max="8" width="39" style="116" customWidth="1"/>
    <col min="9" max="9" width="43.28515625" style="116" customWidth="1"/>
    <col min="10" max="10" width="42.28515625" style="116" customWidth="1"/>
    <col min="11" max="11" width="40.140625" style="116" customWidth="1"/>
    <col min="12" max="12" width="40.85546875" style="116" customWidth="1"/>
    <col min="13" max="13" width="43.7109375" style="116" customWidth="1"/>
    <col min="14" max="14" width="151.85546875" style="150" customWidth="1"/>
    <col min="15" max="15" width="53.140625" style="116" customWidth="1"/>
    <col min="16" max="16" width="44.140625" style="116" customWidth="1"/>
    <col min="17" max="17" width="47.28515625" style="116" customWidth="1"/>
    <col min="18" max="18" width="43.85546875" style="116" customWidth="1"/>
    <col min="19" max="19" width="56.5703125" style="116" customWidth="1"/>
    <col min="20" max="20" width="41.28515625" style="116" customWidth="1"/>
    <col min="21" max="21" width="40.42578125" style="116" customWidth="1"/>
    <col min="22" max="22" width="24.42578125" hidden="1" customWidth="1"/>
    <col min="23" max="94" width="0" hidden="1" customWidth="1"/>
    <col min="95" max="95" width="12" customWidth="1"/>
    <col min="96" max="96" width="33.42578125" customWidth="1"/>
  </cols>
  <sheetData>
    <row r="1" spans="1:96" x14ac:dyDescent="0.55000000000000004">
      <c r="B1" s="108"/>
      <c r="C1" s="109"/>
      <c r="D1" s="110"/>
      <c r="E1" s="110"/>
      <c r="F1" s="110"/>
      <c r="G1" s="57"/>
      <c r="H1" s="57"/>
      <c r="I1" s="111"/>
      <c r="J1" s="111"/>
      <c r="K1" s="111"/>
      <c r="L1" s="57"/>
      <c r="M1" s="112"/>
      <c r="N1" s="113"/>
      <c r="O1" s="114"/>
      <c r="P1" s="114"/>
      <c r="Q1" s="114"/>
      <c r="R1" s="114"/>
      <c r="S1" s="160" t="s">
        <v>296</v>
      </c>
      <c r="T1" s="160"/>
      <c r="U1" s="160"/>
    </row>
    <row r="2" spans="1:96" ht="35.25" x14ac:dyDescent="0.5">
      <c r="B2" s="108"/>
      <c r="C2" s="109"/>
      <c r="D2" s="110"/>
      <c r="E2" s="110"/>
      <c r="F2" s="110"/>
      <c r="G2" s="57"/>
      <c r="H2" s="57"/>
      <c r="I2" s="111"/>
      <c r="J2" s="111"/>
      <c r="K2" s="111"/>
      <c r="L2" s="57"/>
      <c r="M2" s="112"/>
      <c r="N2" s="161" t="s">
        <v>570</v>
      </c>
      <c r="O2" s="161"/>
      <c r="P2" s="161"/>
      <c r="Q2" s="161"/>
      <c r="R2" s="161"/>
      <c r="S2" s="161"/>
      <c r="T2" s="161"/>
      <c r="U2" s="161"/>
    </row>
    <row r="3" spans="1:96" ht="115.5" customHeight="1" x14ac:dyDescent="0.5">
      <c r="B3" s="108"/>
      <c r="C3" s="109"/>
      <c r="D3" s="110"/>
      <c r="E3" s="110"/>
      <c r="F3" s="110"/>
      <c r="G3" s="57"/>
      <c r="H3" s="57"/>
      <c r="I3" s="111"/>
      <c r="J3" s="111"/>
      <c r="K3" s="111"/>
      <c r="L3" s="57"/>
      <c r="M3" s="112"/>
      <c r="N3" s="161"/>
      <c r="O3" s="161"/>
      <c r="P3" s="161"/>
      <c r="Q3" s="161"/>
      <c r="R3" s="161"/>
      <c r="S3" s="161"/>
      <c r="T3" s="161"/>
      <c r="U3" s="161"/>
    </row>
    <row r="4" spans="1:96" ht="15" x14ac:dyDescent="0.25">
      <c r="B4" s="162" t="s">
        <v>573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96" ht="15" x14ac:dyDescent="0.2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96" ht="114.75" customHeight="1" x14ac:dyDescent="0.25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96" x14ac:dyDescent="0.55000000000000004">
      <c r="B7" s="106"/>
      <c r="D7" s="106"/>
      <c r="E7" s="106"/>
      <c r="F7" s="106"/>
      <c r="G7" s="115"/>
      <c r="H7" s="115"/>
      <c r="K7" s="53"/>
      <c r="L7" s="115"/>
      <c r="M7" s="115"/>
      <c r="N7" s="117"/>
      <c r="O7" s="118"/>
      <c r="P7" s="118"/>
      <c r="Q7" s="118"/>
      <c r="R7" s="118"/>
      <c r="S7" s="118"/>
      <c r="T7" s="118"/>
      <c r="U7" s="118"/>
    </row>
    <row r="8" spans="1:96" ht="35.25" x14ac:dyDescent="0.25">
      <c r="B8" s="163" t="s">
        <v>4</v>
      </c>
      <c r="C8" s="163" t="s">
        <v>297</v>
      </c>
      <c r="D8" s="163" t="s">
        <v>298</v>
      </c>
      <c r="E8" s="164" t="s">
        <v>299</v>
      </c>
      <c r="F8" s="164" t="s">
        <v>300</v>
      </c>
      <c r="G8" s="164" t="s">
        <v>301</v>
      </c>
      <c r="H8" s="164" t="s">
        <v>302</v>
      </c>
      <c r="I8" s="164" t="s">
        <v>303</v>
      </c>
      <c r="J8" s="164" t="s">
        <v>304</v>
      </c>
      <c r="K8" s="164" t="s">
        <v>305</v>
      </c>
      <c r="L8" s="165" t="s">
        <v>306</v>
      </c>
      <c r="M8" s="165" t="s">
        <v>307</v>
      </c>
      <c r="N8" s="163" t="s">
        <v>308</v>
      </c>
      <c r="O8" s="169" t="s">
        <v>309</v>
      </c>
      <c r="P8" s="169"/>
      <c r="Q8" s="169"/>
      <c r="R8" s="169"/>
      <c r="S8" s="169"/>
      <c r="T8" s="170" t="s">
        <v>310</v>
      </c>
      <c r="U8" s="170" t="s">
        <v>311</v>
      </c>
    </row>
    <row r="9" spans="1:96" ht="15" x14ac:dyDescent="0.25">
      <c r="B9" s="163"/>
      <c r="C9" s="163"/>
      <c r="D9" s="163"/>
      <c r="E9" s="164"/>
      <c r="F9" s="164"/>
      <c r="G9" s="164"/>
      <c r="H9" s="164"/>
      <c r="I9" s="164"/>
      <c r="J9" s="164"/>
      <c r="K9" s="164"/>
      <c r="L9" s="165"/>
      <c r="M9" s="165"/>
      <c r="N9" s="163"/>
      <c r="O9" s="170" t="s">
        <v>312</v>
      </c>
      <c r="P9" s="172" t="s">
        <v>315</v>
      </c>
      <c r="Q9" s="170" t="s">
        <v>313</v>
      </c>
      <c r="R9" s="171" t="s">
        <v>314</v>
      </c>
      <c r="S9" s="170" t="s">
        <v>419</v>
      </c>
      <c r="T9" s="170"/>
      <c r="U9" s="170"/>
    </row>
    <row r="10" spans="1:96" ht="409.5" customHeight="1" x14ac:dyDescent="0.25">
      <c r="B10" s="163"/>
      <c r="C10" s="163"/>
      <c r="D10" s="163"/>
      <c r="E10" s="164"/>
      <c r="F10" s="164"/>
      <c r="G10" s="164"/>
      <c r="H10" s="164"/>
      <c r="I10" s="164"/>
      <c r="J10" s="164"/>
      <c r="K10" s="164"/>
      <c r="L10" s="165"/>
      <c r="M10" s="165"/>
      <c r="N10" s="163"/>
      <c r="O10" s="170"/>
      <c r="P10" s="173"/>
      <c r="Q10" s="170"/>
      <c r="R10" s="171"/>
      <c r="S10" s="170"/>
      <c r="T10" s="170"/>
      <c r="U10" s="170"/>
    </row>
    <row r="11" spans="1:96" ht="35.25" x14ac:dyDescent="0.25">
      <c r="B11" s="163"/>
      <c r="C11" s="163"/>
      <c r="D11" s="163"/>
      <c r="E11" s="164"/>
      <c r="F11" s="164"/>
      <c r="G11" s="164"/>
      <c r="H11" s="164"/>
      <c r="I11" s="120" t="s">
        <v>32</v>
      </c>
      <c r="J11" s="120" t="s">
        <v>32</v>
      </c>
      <c r="K11" s="120" t="s">
        <v>316</v>
      </c>
      <c r="L11" s="165"/>
      <c r="M11" s="165"/>
      <c r="N11" s="163"/>
      <c r="O11" s="121" t="s">
        <v>30</v>
      </c>
      <c r="P11" s="121" t="s">
        <v>30</v>
      </c>
      <c r="Q11" s="121" t="s">
        <v>30</v>
      </c>
      <c r="R11" s="121" t="s">
        <v>30</v>
      </c>
      <c r="S11" s="121" t="s">
        <v>30</v>
      </c>
      <c r="T11" s="121" t="s">
        <v>317</v>
      </c>
      <c r="U11" s="121" t="s">
        <v>317</v>
      </c>
    </row>
    <row r="12" spans="1:96" ht="44.25" customHeight="1" x14ac:dyDescent="0.25">
      <c r="B12" s="120">
        <v>1</v>
      </c>
      <c r="C12" s="120">
        <v>2</v>
      </c>
      <c r="D12" s="120">
        <v>3</v>
      </c>
      <c r="E12" s="120">
        <v>4</v>
      </c>
      <c r="F12" s="120">
        <v>5</v>
      </c>
      <c r="G12" s="120">
        <v>6</v>
      </c>
      <c r="H12" s="120">
        <v>7</v>
      </c>
      <c r="I12" s="120">
        <v>8</v>
      </c>
      <c r="J12" s="120">
        <v>9</v>
      </c>
      <c r="K12" s="120">
        <v>10</v>
      </c>
      <c r="L12" s="120">
        <v>11</v>
      </c>
      <c r="M12" s="120">
        <v>12</v>
      </c>
      <c r="N12" s="119">
        <v>13</v>
      </c>
      <c r="O12" s="120">
        <v>14</v>
      </c>
      <c r="P12" s="120">
        <v>15</v>
      </c>
      <c r="Q12" s="120">
        <v>16</v>
      </c>
      <c r="R12" s="120">
        <v>17</v>
      </c>
      <c r="S12" s="120">
        <v>18</v>
      </c>
      <c r="T12" s="120">
        <v>19</v>
      </c>
      <c r="U12" s="120">
        <v>20</v>
      </c>
    </row>
    <row r="13" spans="1:96" ht="44.25" customHeight="1" x14ac:dyDescent="0.5">
      <c r="B13" s="122" t="s">
        <v>516</v>
      </c>
      <c r="C13" s="120"/>
      <c r="D13" s="123" t="s">
        <v>423</v>
      </c>
      <c r="E13" s="123" t="s">
        <v>423</v>
      </c>
      <c r="F13" s="123" t="s">
        <v>423</v>
      </c>
      <c r="G13" s="123" t="s">
        <v>423</v>
      </c>
      <c r="H13" s="123" t="s">
        <v>423</v>
      </c>
      <c r="I13" s="124">
        <f>I14+I184+I336</f>
        <v>1099555.3700000001</v>
      </c>
      <c r="J13" s="124">
        <f>J14+J184+J336</f>
        <v>887236.88</v>
      </c>
      <c r="K13" s="125">
        <f>K14+K184+K336</f>
        <v>41527</v>
      </c>
      <c r="L13" s="123" t="s">
        <v>423</v>
      </c>
      <c r="M13" s="123" t="s">
        <v>423</v>
      </c>
      <c r="N13" s="126" t="s">
        <v>423</v>
      </c>
      <c r="O13" s="127">
        <f>O14+O184+O336</f>
        <v>4186313856.5299997</v>
      </c>
      <c r="P13" s="127">
        <f>P14+P184+P336</f>
        <v>0</v>
      </c>
      <c r="Q13" s="127">
        <f>Q14+Q184+Q336</f>
        <v>0</v>
      </c>
      <c r="R13" s="127">
        <f>R14+R184+R336</f>
        <v>46332780.340000004</v>
      </c>
      <c r="S13" s="127">
        <f>S14+S184+S336</f>
        <v>4139981076.1899996</v>
      </c>
      <c r="T13" s="128">
        <f>O13/I13</f>
        <v>3807.2788062778495</v>
      </c>
      <c r="U13" s="128">
        <f>MAX(U14:U484)</f>
        <v>40233.86</v>
      </c>
      <c r="V13" s="129"/>
    </row>
    <row r="14" spans="1:96" ht="44.25" customHeight="1" x14ac:dyDescent="0.5">
      <c r="B14" s="122" t="s">
        <v>515</v>
      </c>
      <c r="C14" s="120"/>
      <c r="D14" s="123" t="s">
        <v>423</v>
      </c>
      <c r="E14" s="123" t="s">
        <v>423</v>
      </c>
      <c r="F14" s="123" t="s">
        <v>423</v>
      </c>
      <c r="G14" s="123" t="s">
        <v>423</v>
      </c>
      <c r="H14" s="123" t="s">
        <v>423</v>
      </c>
      <c r="I14" s="124">
        <f>I15+I42+I49+I65+I75+I77+I92+I96+I98+I100+I102+I105+I112+I116+I121+I126+I131+I137+I141+I149+I157+I159+I169+I175+I177+I181</f>
        <v>291816.89999999997</v>
      </c>
      <c r="J14" s="124">
        <f>J15+J42+J49+J65+J75+J77+J92+J96+J98+J100+J102+J105+J112+J116+J121+J126+J131+J137+J141+J149+J157+J159+J169+J175+J177+J181</f>
        <v>225809.93000000002</v>
      </c>
      <c r="K14" s="125">
        <f>K15+K42+K49+K65+K75+K77+K92+K96+K98+K100+K102+K105+K112+K116+K121+K126+K131+K137+K141+K149+K157+K159+K169+K175+K177+K181</f>
        <v>11164</v>
      </c>
      <c r="L14" s="123" t="s">
        <v>423</v>
      </c>
      <c r="M14" s="123" t="s">
        <v>423</v>
      </c>
      <c r="N14" s="126" t="s">
        <v>423</v>
      </c>
      <c r="O14" s="127">
        <f>O15+O42+O49+O65+O75+O77+O92+O96+O98+O100+O102+O105+O112+O116+O121+O126+O131+O137+O141+O149+O157+O159+O169+O175+O177+O181</f>
        <v>1310026716.0600002</v>
      </c>
      <c r="P14" s="127">
        <f>P15+P42+P49+P65+P75+P77+P92+P96+P98+P100+P102+P105+P112+P116+P121+P126+P131+P137+P141+P149+P157+P159+P169+P175+P177+P181</f>
        <v>0</v>
      </c>
      <c r="Q14" s="127">
        <f>Q15+Q42+Q49+Q65+Q75+Q77+Q92+Q96+Q98+Q100+Q102+Q105+Q112+Q116+Q121+Q126+Q131+Q137+Q141+Q149+Q157+Q159+Q169+Q175+Q177+Q181</f>
        <v>0</v>
      </c>
      <c r="R14" s="127">
        <f>R15+R42+R49+R65+R75+R77+R92+R96+R98+R100+R102+R105+R112+R116+R121+R126+R131+R137+R141+R149+R157+R159+R169+R175+R177+R181</f>
        <v>46332780.340000004</v>
      </c>
      <c r="S14" s="127">
        <f>S15+S42+S49+S65+S75+S77+S92+S96+S98+S100+S102+S105+S112+S116+S121+S126+S131+S137+S141+S149+S157+S159+S169+S175+S177+S181</f>
        <v>1263693935.7199998</v>
      </c>
      <c r="T14" s="128">
        <f>O14/I14</f>
        <v>4489.2078425204309</v>
      </c>
      <c r="U14" s="128">
        <f>MAX(U15:U181)</f>
        <v>40233.86</v>
      </c>
      <c r="V14" s="129"/>
    </row>
    <row r="15" spans="1:96" ht="35.25" x14ac:dyDescent="0.5">
      <c r="B15" s="122" t="s">
        <v>414</v>
      </c>
      <c r="C15" s="130"/>
      <c r="D15" s="123" t="s">
        <v>423</v>
      </c>
      <c r="E15" s="123" t="s">
        <v>423</v>
      </c>
      <c r="F15" s="123" t="s">
        <v>423</v>
      </c>
      <c r="G15" s="123" t="s">
        <v>423</v>
      </c>
      <c r="H15" s="123" t="s">
        <v>423</v>
      </c>
      <c r="I15" s="124">
        <f>SUM(I16:I41)</f>
        <v>74848.670000000013</v>
      </c>
      <c r="J15" s="124">
        <f t="shared" ref="J15:K15" si="0">SUM(J16:J41)</f>
        <v>60721</v>
      </c>
      <c r="K15" s="125">
        <f t="shared" si="0"/>
        <v>2857</v>
      </c>
      <c r="L15" s="123" t="s">
        <v>423</v>
      </c>
      <c r="M15" s="123" t="s">
        <v>423</v>
      </c>
      <c r="N15" s="126" t="s">
        <v>423</v>
      </c>
      <c r="O15" s="127">
        <f>SUM(O16:O41)</f>
        <v>238289442</v>
      </c>
      <c r="P15" s="127">
        <f t="shared" ref="P15:S15" si="1">SUM(P16:P41)</f>
        <v>0</v>
      </c>
      <c r="Q15" s="127">
        <f t="shared" si="1"/>
        <v>0</v>
      </c>
      <c r="R15" s="127">
        <f t="shared" si="1"/>
        <v>1210354.2</v>
      </c>
      <c r="S15" s="127">
        <f t="shared" si="1"/>
        <v>237079087.80000001</v>
      </c>
      <c r="T15" s="128">
        <f>O15/I15</f>
        <v>3183.6162486253925</v>
      </c>
      <c r="U15" s="128">
        <f>MAX(U16:U41)</f>
        <v>17055.45</v>
      </c>
      <c r="V15" s="129"/>
    </row>
    <row r="16" spans="1:96" ht="35.25" x14ac:dyDescent="0.5">
      <c r="A16">
        <v>1</v>
      </c>
      <c r="B16" s="131">
        <f>SUBTOTAL(9,$A16:A$16)</f>
        <v>1</v>
      </c>
      <c r="C16" s="9" t="s">
        <v>34</v>
      </c>
      <c r="D16" s="123"/>
      <c r="E16" s="123">
        <v>1965</v>
      </c>
      <c r="F16" s="123" t="s">
        <v>420</v>
      </c>
      <c r="G16" s="123">
        <v>5</v>
      </c>
      <c r="H16" s="123">
        <v>2</v>
      </c>
      <c r="I16" s="124">
        <v>1924.5</v>
      </c>
      <c r="J16" s="124">
        <v>1588.9</v>
      </c>
      <c r="K16" s="125">
        <v>80</v>
      </c>
      <c r="L16" s="123" t="s">
        <v>418</v>
      </c>
      <c r="M16" s="123" t="s">
        <v>424</v>
      </c>
      <c r="N16" s="126" t="s">
        <v>550</v>
      </c>
      <c r="O16" s="128">
        <v>7508441.6000000006</v>
      </c>
      <c r="P16" s="128">
        <v>0</v>
      </c>
      <c r="Q16" s="128">
        <v>0</v>
      </c>
      <c r="R16" s="128">
        <v>0</v>
      </c>
      <c r="S16" s="128">
        <f>O16-P16-Q16-R16</f>
        <v>7508441.6000000006</v>
      </c>
      <c r="T16" s="128">
        <f t="shared" ref="T16:T347" si="2">O16/I16</f>
        <v>3901.5025201351004</v>
      </c>
      <c r="U16" s="128">
        <v>3975.1</v>
      </c>
      <c r="V16" s="129"/>
      <c r="CR16" s="1"/>
    </row>
    <row r="17" spans="1:96" ht="35.25" x14ac:dyDescent="0.5">
      <c r="A17">
        <v>1</v>
      </c>
      <c r="B17" s="131">
        <f>SUBTOTAL(9,$A$16:A17)</f>
        <v>2</v>
      </c>
      <c r="C17" s="9" t="s">
        <v>35</v>
      </c>
      <c r="D17" s="123"/>
      <c r="E17" s="123">
        <v>1957</v>
      </c>
      <c r="F17" s="123" t="s">
        <v>420</v>
      </c>
      <c r="G17" s="123">
        <v>3</v>
      </c>
      <c r="H17" s="123">
        <v>2</v>
      </c>
      <c r="I17" s="124">
        <v>1060</v>
      </c>
      <c r="J17" s="124">
        <v>945.3</v>
      </c>
      <c r="K17" s="125">
        <v>39</v>
      </c>
      <c r="L17" s="123" t="s">
        <v>418</v>
      </c>
      <c r="M17" s="123" t="s">
        <v>425</v>
      </c>
      <c r="N17" s="126" t="s">
        <v>426</v>
      </c>
      <c r="O17" s="128">
        <v>774166.4800000001</v>
      </c>
      <c r="P17" s="128">
        <v>0</v>
      </c>
      <c r="Q17" s="128">
        <v>0</v>
      </c>
      <c r="R17" s="128">
        <v>0</v>
      </c>
      <c r="S17" s="128">
        <f t="shared" ref="S17:S347" si="3">O17-P17-Q17-R17</f>
        <v>774166.4800000001</v>
      </c>
      <c r="T17" s="128">
        <f t="shared" si="2"/>
        <v>730.34573584905672</v>
      </c>
      <c r="U17" s="128">
        <v>730.34573584905661</v>
      </c>
      <c r="V17" s="129"/>
      <c r="CR17" s="1"/>
    </row>
    <row r="18" spans="1:96" ht="35.25" x14ac:dyDescent="0.5">
      <c r="A18">
        <v>1</v>
      </c>
      <c r="B18" s="131">
        <f>SUBTOTAL(9,$A$16:A18)</f>
        <v>3</v>
      </c>
      <c r="C18" s="10" t="s">
        <v>36</v>
      </c>
      <c r="D18" s="123"/>
      <c r="E18" s="123">
        <v>1959</v>
      </c>
      <c r="F18" s="123" t="s">
        <v>420</v>
      </c>
      <c r="G18" s="123">
        <v>2</v>
      </c>
      <c r="H18" s="123">
        <v>1</v>
      </c>
      <c r="I18" s="124">
        <v>301</v>
      </c>
      <c r="J18" s="124">
        <v>274.5</v>
      </c>
      <c r="K18" s="125">
        <v>21</v>
      </c>
      <c r="L18" s="123" t="s">
        <v>418</v>
      </c>
      <c r="M18" s="123" t="s">
        <v>424</v>
      </c>
      <c r="N18" s="126" t="s">
        <v>551</v>
      </c>
      <c r="O18" s="128">
        <v>4668041.8699999992</v>
      </c>
      <c r="P18" s="128">
        <v>0</v>
      </c>
      <c r="Q18" s="128">
        <v>0</v>
      </c>
      <c r="R18" s="128">
        <v>0</v>
      </c>
      <c r="S18" s="128">
        <f t="shared" si="3"/>
        <v>4668041.8699999992</v>
      </c>
      <c r="T18" s="128">
        <f t="shared" si="2"/>
        <v>15508.444750830562</v>
      </c>
      <c r="U18" s="128">
        <v>15509.18</v>
      </c>
      <c r="V18" s="129"/>
      <c r="CR18" s="1"/>
    </row>
    <row r="19" spans="1:96" ht="35.25" x14ac:dyDescent="0.5">
      <c r="A19">
        <v>1</v>
      </c>
      <c r="B19" s="131">
        <f>SUBTOTAL(9,$A$16:A19)</f>
        <v>4</v>
      </c>
      <c r="C19" s="10" t="s">
        <v>37</v>
      </c>
      <c r="D19" s="123"/>
      <c r="E19" s="123">
        <v>1959</v>
      </c>
      <c r="F19" s="123" t="s">
        <v>420</v>
      </c>
      <c r="G19" s="123">
        <v>2</v>
      </c>
      <c r="H19" s="123">
        <v>1</v>
      </c>
      <c r="I19" s="124">
        <v>269.5</v>
      </c>
      <c r="J19" s="124">
        <v>242</v>
      </c>
      <c r="K19" s="125">
        <v>21</v>
      </c>
      <c r="L19" s="123" t="s">
        <v>418</v>
      </c>
      <c r="M19" s="123" t="s">
        <v>424</v>
      </c>
      <c r="N19" s="126" t="s">
        <v>441</v>
      </c>
      <c r="O19" s="128">
        <v>4596225.9799999995</v>
      </c>
      <c r="P19" s="128">
        <v>0</v>
      </c>
      <c r="Q19" s="128">
        <v>0</v>
      </c>
      <c r="R19" s="128">
        <v>0</v>
      </c>
      <c r="S19" s="128">
        <f t="shared" si="3"/>
        <v>4596225.9799999995</v>
      </c>
      <c r="T19" s="128">
        <f t="shared" si="2"/>
        <v>17054.641855287569</v>
      </c>
      <c r="U19" s="128">
        <v>17055.45</v>
      </c>
      <c r="V19" s="129"/>
      <c r="CR19" s="1"/>
    </row>
    <row r="20" spans="1:96" ht="35.25" x14ac:dyDescent="0.5">
      <c r="A20">
        <v>1</v>
      </c>
      <c r="B20" s="131">
        <f>SUBTOTAL(9,$A$16:A20)</f>
        <v>5</v>
      </c>
      <c r="C20" s="10" t="s">
        <v>39</v>
      </c>
      <c r="D20" s="123"/>
      <c r="E20" s="123">
        <v>1962</v>
      </c>
      <c r="F20" s="123" t="s">
        <v>420</v>
      </c>
      <c r="G20" s="123">
        <v>2</v>
      </c>
      <c r="H20" s="123">
        <v>2</v>
      </c>
      <c r="I20" s="124">
        <v>651.79999999999995</v>
      </c>
      <c r="J20" s="124">
        <v>638.6</v>
      </c>
      <c r="K20" s="125">
        <v>42</v>
      </c>
      <c r="L20" s="123" t="s">
        <v>418</v>
      </c>
      <c r="M20" s="123" t="s">
        <v>425</v>
      </c>
      <c r="N20" s="126" t="s">
        <v>426</v>
      </c>
      <c r="O20" s="128">
        <v>5617700</v>
      </c>
      <c r="P20" s="128">
        <v>0</v>
      </c>
      <c r="Q20" s="128">
        <v>0</v>
      </c>
      <c r="R20" s="128">
        <v>0</v>
      </c>
      <c r="S20" s="128">
        <f t="shared" si="3"/>
        <v>5617700</v>
      </c>
      <c r="T20" s="128">
        <f t="shared" si="2"/>
        <v>8618.7480822338148</v>
      </c>
      <c r="U20" s="128">
        <v>11707.08</v>
      </c>
      <c r="V20" s="129"/>
      <c r="CR20" s="1"/>
    </row>
    <row r="21" spans="1:96" ht="35.25" x14ac:dyDescent="0.5">
      <c r="A21">
        <v>1</v>
      </c>
      <c r="B21" s="131">
        <f>SUBTOTAL(9,$A$16:A21)</f>
        <v>6</v>
      </c>
      <c r="C21" s="10" t="s">
        <v>40</v>
      </c>
      <c r="D21" s="123"/>
      <c r="E21" s="123">
        <v>1964</v>
      </c>
      <c r="F21" s="123" t="s">
        <v>420</v>
      </c>
      <c r="G21" s="123">
        <v>5</v>
      </c>
      <c r="H21" s="123">
        <v>2</v>
      </c>
      <c r="I21" s="124">
        <v>1572</v>
      </c>
      <c r="J21" s="124">
        <v>1291.4000000000001</v>
      </c>
      <c r="K21" s="125">
        <v>86</v>
      </c>
      <c r="L21" s="123" t="s">
        <v>418</v>
      </c>
      <c r="M21" s="123" t="s">
        <v>424</v>
      </c>
      <c r="N21" s="126" t="s">
        <v>552</v>
      </c>
      <c r="O21" s="128">
        <v>7113000.9800000004</v>
      </c>
      <c r="P21" s="128">
        <v>0</v>
      </c>
      <c r="Q21" s="128">
        <v>0</v>
      </c>
      <c r="R21" s="128">
        <v>0</v>
      </c>
      <c r="S21" s="128">
        <f t="shared" si="3"/>
        <v>7113000.9800000004</v>
      </c>
      <c r="T21" s="128">
        <f t="shared" si="2"/>
        <v>4524.8097837150126</v>
      </c>
      <c r="U21" s="128">
        <v>4525.03</v>
      </c>
      <c r="V21" s="129"/>
      <c r="CR21" s="1"/>
    </row>
    <row r="22" spans="1:96" ht="35.25" x14ac:dyDescent="0.5">
      <c r="A22">
        <v>1</v>
      </c>
      <c r="B22" s="131">
        <f>SUBTOTAL(9,$A$16:A22)</f>
        <v>7</v>
      </c>
      <c r="C22" s="10" t="s">
        <v>41</v>
      </c>
      <c r="D22" s="123"/>
      <c r="E22" s="123">
        <v>1962</v>
      </c>
      <c r="F22" s="123" t="s">
        <v>420</v>
      </c>
      <c r="G22" s="123">
        <v>5</v>
      </c>
      <c r="H22" s="123">
        <v>2</v>
      </c>
      <c r="I22" s="124">
        <v>1864.3</v>
      </c>
      <c r="J22" s="124">
        <v>1611.9</v>
      </c>
      <c r="K22" s="125">
        <v>91</v>
      </c>
      <c r="L22" s="123" t="s">
        <v>418</v>
      </c>
      <c r="M22" s="123" t="s">
        <v>424</v>
      </c>
      <c r="N22" s="126" t="s">
        <v>553</v>
      </c>
      <c r="O22" s="128">
        <v>9596585.3499999996</v>
      </c>
      <c r="P22" s="128">
        <v>0</v>
      </c>
      <c r="Q22" s="128">
        <v>0</v>
      </c>
      <c r="R22" s="128">
        <v>0</v>
      </c>
      <c r="S22" s="128">
        <f t="shared" si="3"/>
        <v>9596585.3499999996</v>
      </c>
      <c r="T22" s="128">
        <f t="shared" si="2"/>
        <v>5147.554229469506</v>
      </c>
      <c r="U22" s="128">
        <v>5244.66</v>
      </c>
      <c r="V22" s="129"/>
      <c r="CR22" s="1"/>
    </row>
    <row r="23" spans="1:96" ht="35.25" x14ac:dyDescent="0.5">
      <c r="A23">
        <v>1</v>
      </c>
      <c r="B23" s="131">
        <f>SUBTOTAL(9,$A$16:A23)</f>
        <v>8</v>
      </c>
      <c r="C23" s="10" t="s">
        <v>42</v>
      </c>
      <c r="D23" s="123"/>
      <c r="E23" s="123">
        <v>1958</v>
      </c>
      <c r="F23" s="123" t="s">
        <v>420</v>
      </c>
      <c r="G23" s="123">
        <v>3</v>
      </c>
      <c r="H23" s="123">
        <v>2</v>
      </c>
      <c r="I23" s="124">
        <v>1958</v>
      </c>
      <c r="J23" s="124">
        <v>1093.5999999999999</v>
      </c>
      <c r="K23" s="125">
        <v>56</v>
      </c>
      <c r="L23" s="123" t="s">
        <v>418</v>
      </c>
      <c r="M23" s="123" t="s">
        <v>424</v>
      </c>
      <c r="N23" s="126" t="s">
        <v>586</v>
      </c>
      <c r="O23" s="128">
        <v>4844653.5</v>
      </c>
      <c r="P23" s="128">
        <v>0</v>
      </c>
      <c r="Q23" s="128">
        <v>0</v>
      </c>
      <c r="R23" s="128">
        <v>0</v>
      </c>
      <c r="S23" s="128">
        <f t="shared" si="3"/>
        <v>4844653.5</v>
      </c>
      <c r="T23" s="128">
        <f t="shared" si="2"/>
        <v>2474.2867722165474</v>
      </c>
      <c r="U23" s="128">
        <v>4732.1000000000004</v>
      </c>
      <c r="V23" s="129"/>
      <c r="CR23" s="1"/>
    </row>
    <row r="24" spans="1:96" ht="35.25" x14ac:dyDescent="0.5">
      <c r="A24">
        <v>1</v>
      </c>
      <c r="B24" s="131">
        <f>SUBTOTAL(9,$A$16:A24)</f>
        <v>9</v>
      </c>
      <c r="C24" s="10" t="s">
        <v>43</v>
      </c>
      <c r="D24" s="123"/>
      <c r="E24" s="123">
        <v>1951</v>
      </c>
      <c r="F24" s="123" t="s">
        <v>420</v>
      </c>
      <c r="G24" s="123">
        <v>2</v>
      </c>
      <c r="H24" s="123">
        <v>2</v>
      </c>
      <c r="I24" s="124">
        <v>990</v>
      </c>
      <c r="J24" s="124">
        <v>849.9</v>
      </c>
      <c r="K24" s="125">
        <v>39</v>
      </c>
      <c r="L24" s="123" t="s">
        <v>418</v>
      </c>
      <c r="M24" s="123" t="s">
        <v>425</v>
      </c>
      <c r="N24" s="126" t="s">
        <v>426</v>
      </c>
      <c r="O24" s="128">
        <v>8965837.4900000002</v>
      </c>
      <c r="P24" s="128">
        <v>0</v>
      </c>
      <c r="Q24" s="128">
        <v>0</v>
      </c>
      <c r="R24" s="128">
        <v>0</v>
      </c>
      <c r="S24" s="128">
        <f t="shared" si="3"/>
        <v>8965837.4900000002</v>
      </c>
      <c r="T24" s="128">
        <f t="shared" si="2"/>
        <v>9056.4015050505059</v>
      </c>
      <c r="U24" s="128">
        <v>9076.4</v>
      </c>
      <c r="V24" s="129"/>
      <c r="CR24" s="1"/>
    </row>
    <row r="25" spans="1:96" ht="35.25" x14ac:dyDescent="0.5">
      <c r="A25">
        <v>1</v>
      </c>
      <c r="B25" s="131">
        <f>SUBTOTAL(9,$A$16:A25)</f>
        <v>10</v>
      </c>
      <c r="C25" s="10" t="s">
        <v>44</v>
      </c>
      <c r="D25" s="123"/>
      <c r="E25" s="123">
        <v>2004</v>
      </c>
      <c r="F25" s="123" t="s">
        <v>420</v>
      </c>
      <c r="G25" s="123">
        <v>9</v>
      </c>
      <c r="H25" s="123">
        <v>1</v>
      </c>
      <c r="I25" s="124">
        <v>2556.1</v>
      </c>
      <c r="J25" s="124">
        <v>1725.9</v>
      </c>
      <c r="K25" s="125">
        <v>87</v>
      </c>
      <c r="L25" s="123" t="s">
        <v>418</v>
      </c>
      <c r="M25" s="123" t="s">
        <v>424</v>
      </c>
      <c r="N25" s="126" t="s">
        <v>586</v>
      </c>
      <c r="O25" s="128">
        <v>15437764.24</v>
      </c>
      <c r="P25" s="128">
        <v>0</v>
      </c>
      <c r="Q25" s="128">
        <v>0</v>
      </c>
      <c r="R25" s="128">
        <v>0</v>
      </c>
      <c r="S25" s="128">
        <f t="shared" si="3"/>
        <v>15437764.24</v>
      </c>
      <c r="T25" s="128">
        <f t="shared" si="2"/>
        <v>6039.5775752122381</v>
      </c>
      <c r="U25" s="128">
        <v>6060.98</v>
      </c>
      <c r="V25" s="129"/>
      <c r="CR25" s="1"/>
    </row>
    <row r="26" spans="1:96" ht="35.25" x14ac:dyDescent="0.5">
      <c r="A26">
        <v>1</v>
      </c>
      <c r="B26" s="131">
        <f>SUBTOTAL(9,$A$16:A26)</f>
        <v>11</v>
      </c>
      <c r="C26" s="10" t="s">
        <v>45</v>
      </c>
      <c r="D26" s="123"/>
      <c r="E26" s="123">
        <v>1987</v>
      </c>
      <c r="F26" s="123" t="s">
        <v>421</v>
      </c>
      <c r="G26" s="123">
        <v>9</v>
      </c>
      <c r="H26" s="123">
        <v>2</v>
      </c>
      <c r="I26" s="124">
        <v>5051.2</v>
      </c>
      <c r="J26" s="124">
        <v>3905.8</v>
      </c>
      <c r="K26" s="125">
        <v>179</v>
      </c>
      <c r="L26" s="123" t="s">
        <v>418</v>
      </c>
      <c r="M26" s="123" t="s">
        <v>424</v>
      </c>
      <c r="N26" s="126" t="s">
        <v>554</v>
      </c>
      <c r="O26" s="128">
        <v>10961010.770000001</v>
      </c>
      <c r="P26" s="128">
        <v>0</v>
      </c>
      <c r="Q26" s="128">
        <v>0</v>
      </c>
      <c r="R26" s="128">
        <v>0</v>
      </c>
      <c r="S26" s="128">
        <f t="shared" si="3"/>
        <v>10961010.770000001</v>
      </c>
      <c r="T26" s="128">
        <f t="shared" si="2"/>
        <v>2169.9815429996838</v>
      </c>
      <c r="U26" s="128">
        <v>7105.86</v>
      </c>
      <c r="V26" s="129"/>
      <c r="CR26" s="1"/>
    </row>
    <row r="27" spans="1:96" ht="35.25" x14ac:dyDescent="0.5">
      <c r="A27">
        <v>1</v>
      </c>
      <c r="B27" s="131">
        <f>SUBTOTAL(9,$A$16:A27)</f>
        <v>12</v>
      </c>
      <c r="C27" s="10" t="s">
        <v>46</v>
      </c>
      <c r="D27" s="123"/>
      <c r="E27" s="123">
        <v>1966</v>
      </c>
      <c r="F27" s="123" t="s">
        <v>420</v>
      </c>
      <c r="G27" s="123">
        <v>2</v>
      </c>
      <c r="H27" s="123">
        <v>2</v>
      </c>
      <c r="I27" s="124">
        <v>673.9</v>
      </c>
      <c r="J27" s="124">
        <v>426.7</v>
      </c>
      <c r="K27" s="125">
        <v>19</v>
      </c>
      <c r="L27" s="123" t="s">
        <v>418</v>
      </c>
      <c r="M27" s="123" t="s">
        <v>424</v>
      </c>
      <c r="N27" s="126" t="s">
        <v>555</v>
      </c>
      <c r="O27" s="128">
        <v>5485890</v>
      </c>
      <c r="P27" s="128">
        <v>0</v>
      </c>
      <c r="Q27" s="128">
        <v>0</v>
      </c>
      <c r="R27" s="128">
        <v>0</v>
      </c>
      <c r="S27" s="128">
        <f t="shared" si="3"/>
        <v>5485890</v>
      </c>
      <c r="T27" s="128">
        <f t="shared" si="2"/>
        <v>8140.5104614928032</v>
      </c>
      <c r="U27" s="128">
        <v>9595.9</v>
      </c>
      <c r="V27" s="129"/>
      <c r="CR27" s="1"/>
    </row>
    <row r="28" spans="1:96" ht="35.25" x14ac:dyDescent="0.5">
      <c r="A28">
        <v>1</v>
      </c>
      <c r="B28" s="131">
        <f>SUBTOTAL(9,$A$16:A28)</f>
        <v>13</v>
      </c>
      <c r="C28" s="10" t="s">
        <v>47</v>
      </c>
      <c r="D28" s="123"/>
      <c r="E28" s="123">
        <v>1968</v>
      </c>
      <c r="F28" s="123" t="s">
        <v>420</v>
      </c>
      <c r="G28" s="123">
        <v>5</v>
      </c>
      <c r="H28" s="123">
        <v>2</v>
      </c>
      <c r="I28" s="124">
        <v>1920</v>
      </c>
      <c r="J28" s="124">
        <v>1745.2</v>
      </c>
      <c r="K28" s="125">
        <v>104</v>
      </c>
      <c r="L28" s="123" t="s">
        <v>418</v>
      </c>
      <c r="M28" s="123" t="s">
        <v>424</v>
      </c>
      <c r="N28" s="126" t="s">
        <v>555</v>
      </c>
      <c r="O28" s="128">
        <v>8940311.5899999999</v>
      </c>
      <c r="P28" s="128">
        <v>0</v>
      </c>
      <c r="Q28" s="128">
        <v>0</v>
      </c>
      <c r="R28" s="128">
        <v>0</v>
      </c>
      <c r="S28" s="128">
        <f t="shared" si="3"/>
        <v>8940311.5899999999</v>
      </c>
      <c r="T28" s="128">
        <f t="shared" si="2"/>
        <v>4656.4122864583333</v>
      </c>
      <c r="U28" s="128">
        <v>4744.25</v>
      </c>
      <c r="V28" s="129"/>
      <c r="CR28" s="1"/>
    </row>
    <row r="29" spans="1:96" ht="35.25" x14ac:dyDescent="0.5">
      <c r="A29">
        <v>1</v>
      </c>
      <c r="B29" s="131">
        <f>SUBTOTAL(9,$A$16:A29)</f>
        <v>14</v>
      </c>
      <c r="C29" s="10" t="s">
        <v>48</v>
      </c>
      <c r="D29" s="123"/>
      <c r="E29" s="123">
        <v>1961</v>
      </c>
      <c r="F29" s="123" t="s">
        <v>420</v>
      </c>
      <c r="G29" s="123">
        <v>4</v>
      </c>
      <c r="H29" s="123">
        <v>4</v>
      </c>
      <c r="I29" s="124">
        <v>2830.2</v>
      </c>
      <c r="J29" s="124">
        <v>2511.6</v>
      </c>
      <c r="K29" s="125">
        <v>132</v>
      </c>
      <c r="L29" s="123" t="s">
        <v>418</v>
      </c>
      <c r="M29" s="123" t="s">
        <v>424</v>
      </c>
      <c r="N29" s="126" t="s">
        <v>450</v>
      </c>
      <c r="O29" s="128">
        <v>14344098.030000001</v>
      </c>
      <c r="P29" s="128">
        <v>0</v>
      </c>
      <c r="Q29" s="128">
        <v>0</v>
      </c>
      <c r="R29" s="128">
        <v>0</v>
      </c>
      <c r="S29" s="128">
        <f t="shared" si="3"/>
        <v>14344098.030000001</v>
      </c>
      <c r="T29" s="128">
        <f t="shared" si="2"/>
        <v>5068.2276976892099</v>
      </c>
      <c r="U29" s="128">
        <v>5163.83</v>
      </c>
      <c r="V29" s="129"/>
      <c r="CR29" s="1"/>
    </row>
    <row r="30" spans="1:96" ht="35.25" x14ac:dyDescent="0.5">
      <c r="A30">
        <v>1</v>
      </c>
      <c r="B30" s="131">
        <f>SUBTOTAL(9,$A$16:A30)</f>
        <v>15</v>
      </c>
      <c r="C30" s="10" t="s">
        <v>49</v>
      </c>
      <c r="D30" s="123"/>
      <c r="E30" s="123">
        <v>1961</v>
      </c>
      <c r="F30" s="123" t="s">
        <v>420</v>
      </c>
      <c r="G30" s="123">
        <v>3</v>
      </c>
      <c r="H30" s="123">
        <v>2</v>
      </c>
      <c r="I30" s="124">
        <v>1037.8</v>
      </c>
      <c r="J30" s="124">
        <v>966.9</v>
      </c>
      <c r="K30" s="125">
        <v>57</v>
      </c>
      <c r="L30" s="123" t="s">
        <v>418</v>
      </c>
      <c r="M30" s="123" t="s">
        <v>424</v>
      </c>
      <c r="N30" s="126" t="s">
        <v>556</v>
      </c>
      <c r="O30" s="128">
        <v>11257150.970000001</v>
      </c>
      <c r="P30" s="128">
        <v>0</v>
      </c>
      <c r="Q30" s="128">
        <v>0</v>
      </c>
      <c r="R30" s="128">
        <v>0</v>
      </c>
      <c r="S30" s="128">
        <f t="shared" si="3"/>
        <v>11257150.970000001</v>
      </c>
      <c r="T30" s="128">
        <f t="shared" si="2"/>
        <v>10847.129475814223</v>
      </c>
      <c r="U30" s="128">
        <v>10847.66</v>
      </c>
      <c r="V30" s="129"/>
      <c r="CR30" s="1"/>
    </row>
    <row r="31" spans="1:96" ht="35.25" x14ac:dyDescent="0.5">
      <c r="A31">
        <v>1</v>
      </c>
      <c r="B31" s="131">
        <f>SUBTOTAL(9,$A$16:A31)</f>
        <v>16</v>
      </c>
      <c r="C31" s="10" t="s">
        <v>50</v>
      </c>
      <c r="D31" s="123"/>
      <c r="E31" s="123">
        <v>1999</v>
      </c>
      <c r="F31" s="123" t="s">
        <v>421</v>
      </c>
      <c r="G31" s="123">
        <v>10</v>
      </c>
      <c r="H31" s="123">
        <v>3</v>
      </c>
      <c r="I31" s="124">
        <v>7576.1</v>
      </c>
      <c r="J31" s="124">
        <v>6473.8</v>
      </c>
      <c r="K31" s="125">
        <v>302</v>
      </c>
      <c r="L31" s="123" t="s">
        <v>418</v>
      </c>
      <c r="M31" s="123" t="s">
        <v>427</v>
      </c>
      <c r="N31" s="126" t="s">
        <v>557</v>
      </c>
      <c r="O31" s="128">
        <v>12489237.380000001</v>
      </c>
      <c r="P31" s="128">
        <v>0</v>
      </c>
      <c r="Q31" s="128">
        <v>0</v>
      </c>
      <c r="R31" s="128">
        <v>0</v>
      </c>
      <c r="S31" s="128">
        <f t="shared" si="3"/>
        <v>12489237.380000001</v>
      </c>
      <c r="T31" s="128">
        <f t="shared" si="2"/>
        <v>1648.5048217420572</v>
      </c>
      <c r="U31" s="128">
        <v>1648.58</v>
      </c>
      <c r="V31" s="129"/>
      <c r="CR31" s="1"/>
    </row>
    <row r="32" spans="1:96" ht="35.25" x14ac:dyDescent="0.5">
      <c r="A32">
        <v>1</v>
      </c>
      <c r="B32" s="131">
        <f>SUBTOTAL(9,$A$16:A32)</f>
        <v>17</v>
      </c>
      <c r="C32" s="10" t="s">
        <v>51</v>
      </c>
      <c r="D32" s="123"/>
      <c r="E32" s="123">
        <v>1976</v>
      </c>
      <c r="F32" s="123" t="s">
        <v>421</v>
      </c>
      <c r="G32" s="123">
        <v>5</v>
      </c>
      <c r="H32" s="123">
        <v>6</v>
      </c>
      <c r="I32" s="124">
        <v>6051.8</v>
      </c>
      <c r="J32" s="124">
        <v>4558.7</v>
      </c>
      <c r="K32" s="125">
        <v>189</v>
      </c>
      <c r="L32" s="123" t="s">
        <v>418</v>
      </c>
      <c r="M32" s="123" t="s">
        <v>424</v>
      </c>
      <c r="N32" s="126" t="s">
        <v>558</v>
      </c>
      <c r="O32" s="128">
        <v>16915996.48</v>
      </c>
      <c r="P32" s="128">
        <v>0</v>
      </c>
      <c r="Q32" s="128">
        <v>0</v>
      </c>
      <c r="R32" s="128">
        <v>0</v>
      </c>
      <c r="S32" s="128">
        <f t="shared" si="3"/>
        <v>16915996.48</v>
      </c>
      <c r="T32" s="128">
        <f t="shared" si="2"/>
        <v>2795.2008460292805</v>
      </c>
      <c r="U32" s="128">
        <v>2795.34</v>
      </c>
      <c r="V32" s="129"/>
      <c r="CR32" s="1"/>
    </row>
    <row r="33" spans="1:96" ht="35.25" x14ac:dyDescent="0.5">
      <c r="A33">
        <v>1</v>
      </c>
      <c r="B33" s="131">
        <f>SUBTOTAL(9,$A$16:A33)</f>
        <v>18</v>
      </c>
      <c r="C33" s="10" t="s">
        <v>52</v>
      </c>
      <c r="D33" s="123"/>
      <c r="E33" s="123">
        <v>1980</v>
      </c>
      <c r="F33" s="123" t="s">
        <v>420</v>
      </c>
      <c r="G33" s="123">
        <v>10</v>
      </c>
      <c r="H33" s="123">
        <v>5</v>
      </c>
      <c r="I33" s="124">
        <v>14994</v>
      </c>
      <c r="J33" s="124">
        <v>11517.4</v>
      </c>
      <c r="K33" s="125">
        <v>528</v>
      </c>
      <c r="L33" s="123" t="s">
        <v>418</v>
      </c>
      <c r="M33" s="123" t="s">
        <v>424</v>
      </c>
      <c r="N33" s="126" t="s">
        <v>559</v>
      </c>
      <c r="O33" s="128">
        <v>20801618.119999997</v>
      </c>
      <c r="P33" s="128">
        <v>0</v>
      </c>
      <c r="Q33" s="128">
        <v>0</v>
      </c>
      <c r="R33" s="128">
        <v>0</v>
      </c>
      <c r="S33" s="128">
        <f t="shared" si="3"/>
        <v>20801618.119999997</v>
      </c>
      <c r="T33" s="128">
        <f t="shared" si="2"/>
        <v>1387.3294731225822</v>
      </c>
      <c r="U33" s="128">
        <v>3336.41</v>
      </c>
      <c r="V33" s="129"/>
      <c r="CR33" s="1"/>
    </row>
    <row r="34" spans="1:96" ht="35.25" x14ac:dyDescent="0.5">
      <c r="A34">
        <v>1</v>
      </c>
      <c r="B34" s="131">
        <f>SUBTOTAL(9,$A$16:A34)</f>
        <v>19</v>
      </c>
      <c r="C34" s="10" t="s">
        <v>53</v>
      </c>
      <c r="D34" s="123"/>
      <c r="E34" s="123">
        <v>1985</v>
      </c>
      <c r="F34" s="123" t="s">
        <v>421</v>
      </c>
      <c r="G34" s="123">
        <v>16</v>
      </c>
      <c r="H34" s="123">
        <v>1</v>
      </c>
      <c r="I34" s="124">
        <v>4730.3</v>
      </c>
      <c r="J34" s="124">
        <v>4662</v>
      </c>
      <c r="K34" s="125">
        <v>208</v>
      </c>
      <c r="L34" s="123" t="s">
        <v>418</v>
      </c>
      <c r="M34" s="123" t="s">
        <v>424</v>
      </c>
      <c r="N34" s="126" t="s">
        <v>559</v>
      </c>
      <c r="O34" s="128">
        <v>6518096.2699999986</v>
      </c>
      <c r="P34" s="128">
        <v>0</v>
      </c>
      <c r="Q34" s="128">
        <v>0</v>
      </c>
      <c r="R34" s="128">
        <v>0</v>
      </c>
      <c r="S34" s="128">
        <f t="shared" si="3"/>
        <v>6518096.2699999986</v>
      </c>
      <c r="T34" s="128">
        <f t="shared" si="2"/>
        <v>1377.9456419254589</v>
      </c>
      <c r="U34" s="128">
        <v>1378.01</v>
      </c>
      <c r="V34" s="129"/>
      <c r="CR34" s="1"/>
    </row>
    <row r="35" spans="1:96" ht="35.25" x14ac:dyDescent="0.5">
      <c r="A35">
        <v>1</v>
      </c>
      <c r="B35" s="131">
        <f>SUBTOTAL(9,$A$16:A35)</f>
        <v>20</v>
      </c>
      <c r="C35" s="10" t="s">
        <v>54</v>
      </c>
      <c r="D35" s="123"/>
      <c r="E35" s="123">
        <v>2002</v>
      </c>
      <c r="F35" s="123" t="s">
        <v>420</v>
      </c>
      <c r="G35" s="123">
        <v>6</v>
      </c>
      <c r="H35" s="123">
        <v>2</v>
      </c>
      <c r="I35" s="124">
        <v>4751.8</v>
      </c>
      <c r="J35" s="124">
        <v>4038.2</v>
      </c>
      <c r="K35" s="125">
        <v>143</v>
      </c>
      <c r="L35" s="123" t="s">
        <v>418</v>
      </c>
      <c r="M35" s="123" t="s">
        <v>424</v>
      </c>
      <c r="N35" s="126" t="s">
        <v>560</v>
      </c>
      <c r="O35" s="128">
        <v>17390629.430000003</v>
      </c>
      <c r="P35" s="128">
        <v>0</v>
      </c>
      <c r="Q35" s="128">
        <v>0</v>
      </c>
      <c r="R35" s="128">
        <v>0</v>
      </c>
      <c r="S35" s="128">
        <f t="shared" si="3"/>
        <v>17390629.430000003</v>
      </c>
      <c r="T35" s="128">
        <f t="shared" si="2"/>
        <v>3659.7982722336806</v>
      </c>
      <c r="U35" s="128">
        <v>3728.84</v>
      </c>
      <c r="V35" s="129"/>
      <c r="CR35" s="1"/>
    </row>
    <row r="36" spans="1:96" ht="35.25" x14ac:dyDescent="0.5">
      <c r="A36">
        <v>1</v>
      </c>
      <c r="B36" s="131">
        <f>SUBTOTAL(9,$A$16:A36)</f>
        <v>21</v>
      </c>
      <c r="C36" s="10" t="s">
        <v>55</v>
      </c>
      <c r="D36" s="123"/>
      <c r="E36" s="123">
        <v>1961</v>
      </c>
      <c r="F36" s="123" t="s">
        <v>420</v>
      </c>
      <c r="G36" s="123">
        <v>4</v>
      </c>
      <c r="H36" s="123">
        <v>2</v>
      </c>
      <c r="I36" s="124">
        <v>1535.9</v>
      </c>
      <c r="J36" s="124">
        <v>1452.8</v>
      </c>
      <c r="K36" s="125">
        <v>53</v>
      </c>
      <c r="L36" s="123" t="s">
        <v>418</v>
      </c>
      <c r="M36" s="123" t="s">
        <v>424</v>
      </c>
      <c r="N36" s="126" t="s">
        <v>553</v>
      </c>
      <c r="O36" s="128">
        <v>7565564.080000001</v>
      </c>
      <c r="P36" s="128">
        <v>0</v>
      </c>
      <c r="Q36" s="128">
        <v>0</v>
      </c>
      <c r="R36" s="128">
        <v>0</v>
      </c>
      <c r="S36" s="128">
        <f t="shared" si="3"/>
        <v>7565564.080000001</v>
      </c>
      <c r="T36" s="128">
        <f t="shared" si="2"/>
        <v>4925.8181392017714</v>
      </c>
      <c r="U36" s="128">
        <v>5018.74</v>
      </c>
      <c r="V36" s="129"/>
      <c r="CR36" s="1"/>
    </row>
    <row r="37" spans="1:96" ht="35.25" x14ac:dyDescent="0.5">
      <c r="A37">
        <v>1</v>
      </c>
      <c r="B37" s="131">
        <f>SUBTOTAL(9,$A$16:A37)</f>
        <v>22</v>
      </c>
      <c r="C37" s="10" t="s">
        <v>56</v>
      </c>
      <c r="D37" s="123"/>
      <c r="E37" s="123">
        <v>1964</v>
      </c>
      <c r="F37" s="123" t="s">
        <v>420</v>
      </c>
      <c r="G37" s="123">
        <v>5</v>
      </c>
      <c r="H37" s="123">
        <v>2</v>
      </c>
      <c r="I37" s="124">
        <v>1730</v>
      </c>
      <c r="J37" s="124">
        <v>1572.7</v>
      </c>
      <c r="K37" s="125">
        <v>81</v>
      </c>
      <c r="L37" s="123" t="s">
        <v>418</v>
      </c>
      <c r="M37" s="123" t="s">
        <v>424</v>
      </c>
      <c r="N37" s="126" t="s">
        <v>561</v>
      </c>
      <c r="O37" s="128">
        <v>7400543.5999999996</v>
      </c>
      <c r="P37" s="128">
        <v>0</v>
      </c>
      <c r="Q37" s="128">
        <v>0</v>
      </c>
      <c r="R37" s="128">
        <v>0</v>
      </c>
      <c r="S37" s="128">
        <f t="shared" si="3"/>
        <v>7400543.5999999996</v>
      </c>
      <c r="T37" s="128">
        <f t="shared" si="2"/>
        <v>4277.7708670520233</v>
      </c>
      <c r="U37" s="128">
        <v>4358.46</v>
      </c>
      <c r="V37" s="129"/>
      <c r="CR37" s="1"/>
    </row>
    <row r="38" spans="1:96" ht="35.25" x14ac:dyDescent="0.5">
      <c r="A38">
        <v>1</v>
      </c>
      <c r="B38" s="131">
        <f>SUBTOTAL(9,$A$16:A38)</f>
        <v>23</v>
      </c>
      <c r="C38" s="10" t="s">
        <v>57</v>
      </c>
      <c r="D38" s="123"/>
      <c r="E38" s="123">
        <v>1970</v>
      </c>
      <c r="F38" s="123" t="s">
        <v>420</v>
      </c>
      <c r="G38" s="123">
        <v>5</v>
      </c>
      <c r="H38" s="123">
        <v>4</v>
      </c>
      <c r="I38" s="124">
        <v>3615.1</v>
      </c>
      <c r="J38" s="124">
        <v>3336.4</v>
      </c>
      <c r="K38" s="125">
        <v>182</v>
      </c>
      <c r="L38" s="123" t="s">
        <v>418</v>
      </c>
      <c r="M38" s="123" t="s">
        <v>424</v>
      </c>
      <c r="N38" s="126" t="s">
        <v>562</v>
      </c>
      <c r="O38" s="128">
        <v>15486547</v>
      </c>
      <c r="P38" s="128">
        <v>0</v>
      </c>
      <c r="Q38" s="128">
        <v>0</v>
      </c>
      <c r="R38" s="128">
        <v>0</v>
      </c>
      <c r="S38" s="128">
        <f t="shared" si="3"/>
        <v>15486547</v>
      </c>
      <c r="T38" s="128">
        <f t="shared" si="2"/>
        <v>4283.8502392741557</v>
      </c>
      <c r="U38" s="128">
        <v>4364.66</v>
      </c>
      <c r="V38" s="129"/>
      <c r="CR38" s="1"/>
    </row>
    <row r="39" spans="1:96" ht="35.25" x14ac:dyDescent="0.5">
      <c r="A39">
        <v>1</v>
      </c>
      <c r="B39" s="131">
        <f>SUBTOTAL(9,$A$16:A39)</f>
        <v>24</v>
      </c>
      <c r="C39" s="10" t="s">
        <v>38</v>
      </c>
      <c r="D39" s="123"/>
      <c r="E39" s="123">
        <v>1917</v>
      </c>
      <c r="F39" s="123" t="s">
        <v>420</v>
      </c>
      <c r="G39" s="123">
        <v>3</v>
      </c>
      <c r="H39" s="123">
        <v>2</v>
      </c>
      <c r="I39" s="124">
        <v>1172.2</v>
      </c>
      <c r="J39" s="124">
        <v>776.8</v>
      </c>
      <c r="K39" s="125">
        <v>26</v>
      </c>
      <c r="L39" s="123" t="s">
        <v>418</v>
      </c>
      <c r="M39" s="123" t="s">
        <v>424</v>
      </c>
      <c r="N39" s="126" t="s">
        <v>441</v>
      </c>
      <c r="O39" s="128">
        <v>12323380.82</v>
      </c>
      <c r="P39" s="128">
        <v>0</v>
      </c>
      <c r="Q39" s="128">
        <v>0</v>
      </c>
      <c r="R39" s="128">
        <v>0</v>
      </c>
      <c r="S39" s="128">
        <f t="shared" ref="S39" si="4">O39-P39-Q39-R39</f>
        <v>12323380.82</v>
      </c>
      <c r="T39" s="128">
        <f t="shared" ref="T39" si="5">O39/I39</f>
        <v>10513.036017744413</v>
      </c>
      <c r="U39" s="128">
        <v>10513.55</v>
      </c>
      <c r="V39" s="129"/>
      <c r="CR39" s="1"/>
    </row>
    <row r="40" spans="1:96" ht="35.25" x14ac:dyDescent="0.5">
      <c r="A40">
        <v>1</v>
      </c>
      <c r="B40" s="131">
        <f>SUBTOTAL(9,$A$16:A40)</f>
        <v>25</v>
      </c>
      <c r="C40" s="132" t="s">
        <v>703</v>
      </c>
      <c r="D40" s="133" t="s">
        <v>422</v>
      </c>
      <c r="E40" s="123">
        <v>1917</v>
      </c>
      <c r="F40" s="123" t="s">
        <v>420</v>
      </c>
      <c r="G40" s="123">
        <v>3</v>
      </c>
      <c r="H40" s="123">
        <v>3</v>
      </c>
      <c r="I40" s="124">
        <v>2008</v>
      </c>
      <c r="J40" s="124">
        <v>938</v>
      </c>
      <c r="K40" s="125">
        <v>44</v>
      </c>
      <c r="L40" s="123" t="s">
        <v>418</v>
      </c>
      <c r="M40" s="123" t="s">
        <v>424</v>
      </c>
      <c r="N40" s="126" t="s">
        <v>441</v>
      </c>
      <c r="O40" s="134">
        <v>880580.77</v>
      </c>
      <c r="P40" s="134">
        <v>0</v>
      </c>
      <c r="Q40" s="134">
        <v>0</v>
      </c>
      <c r="R40" s="134">
        <v>803985</v>
      </c>
      <c r="S40" s="134">
        <v>76595.770000000019</v>
      </c>
      <c r="T40" s="135">
        <v>438.53624003984066</v>
      </c>
      <c r="U40" s="134">
        <v>438.53624003984066</v>
      </c>
      <c r="V40" s="129"/>
      <c r="CR40" s="1"/>
    </row>
    <row r="41" spans="1:96" ht="35.25" x14ac:dyDescent="0.5">
      <c r="A41">
        <v>1</v>
      </c>
      <c r="B41" s="131">
        <f>SUBTOTAL(9,$A$16:A41)</f>
        <v>26</v>
      </c>
      <c r="C41" s="132" t="s">
        <v>704</v>
      </c>
      <c r="D41" s="133"/>
      <c r="E41" s="123">
        <v>1938</v>
      </c>
      <c r="F41" s="123" t="s">
        <v>420</v>
      </c>
      <c r="G41" s="123">
        <v>5</v>
      </c>
      <c r="H41" s="123">
        <v>4</v>
      </c>
      <c r="I41" s="124">
        <v>2023.17</v>
      </c>
      <c r="J41" s="124">
        <v>1576</v>
      </c>
      <c r="K41" s="125">
        <v>48</v>
      </c>
      <c r="L41" s="123" t="s">
        <v>418</v>
      </c>
      <c r="M41" s="123" t="s">
        <v>425</v>
      </c>
      <c r="N41" s="126" t="s">
        <v>426</v>
      </c>
      <c r="O41" s="134">
        <v>406369.2</v>
      </c>
      <c r="P41" s="134">
        <v>0</v>
      </c>
      <c r="Q41" s="134">
        <v>0</v>
      </c>
      <c r="R41" s="134">
        <v>406369.2</v>
      </c>
      <c r="S41" s="134">
        <v>0</v>
      </c>
      <c r="T41" s="135">
        <v>200.85766396298877</v>
      </c>
      <c r="U41" s="134">
        <v>200.85766396298877</v>
      </c>
      <c r="V41" s="129"/>
      <c r="CR41" s="1"/>
    </row>
    <row r="42" spans="1:96" ht="35.25" x14ac:dyDescent="0.5">
      <c r="B42" s="122" t="s">
        <v>417</v>
      </c>
      <c r="C42" s="130"/>
      <c r="D42" s="123" t="s">
        <v>423</v>
      </c>
      <c r="E42" s="123" t="s">
        <v>423</v>
      </c>
      <c r="F42" s="123" t="s">
        <v>423</v>
      </c>
      <c r="G42" s="123" t="s">
        <v>423</v>
      </c>
      <c r="H42" s="123" t="s">
        <v>423</v>
      </c>
      <c r="I42" s="124">
        <f>SUM(I43:I48)</f>
        <v>7766.2</v>
      </c>
      <c r="J42" s="124">
        <f t="shared" ref="J42:K42" si="6">SUM(J43:J48)</f>
        <v>7199.7</v>
      </c>
      <c r="K42" s="125">
        <f t="shared" si="6"/>
        <v>308</v>
      </c>
      <c r="L42" s="123" t="s">
        <v>423</v>
      </c>
      <c r="M42" s="123" t="s">
        <v>423</v>
      </c>
      <c r="N42" s="126" t="s">
        <v>423</v>
      </c>
      <c r="O42" s="127">
        <v>63240830.420000002</v>
      </c>
      <c r="P42" s="127">
        <f t="shared" ref="P42" si="7">SUM(P43:P48)</f>
        <v>0</v>
      </c>
      <c r="Q42" s="127">
        <f t="shared" ref="Q42" si="8">SUM(Q43:Q48)</f>
        <v>0</v>
      </c>
      <c r="R42" s="127">
        <f t="shared" ref="R42" si="9">SUM(R43:R48)</f>
        <v>0</v>
      </c>
      <c r="S42" s="127">
        <f t="shared" ref="S42" si="10">SUM(S43:S48)</f>
        <v>63240830.420000002</v>
      </c>
      <c r="T42" s="128">
        <f t="shared" ref="T42:T91" si="11">O42/I42</f>
        <v>8143.0854755221344</v>
      </c>
      <c r="U42" s="128">
        <f>MAX(U43:U48)</f>
        <v>18761.47</v>
      </c>
      <c r="V42" s="129"/>
      <c r="CR42" s="1"/>
    </row>
    <row r="43" spans="1:96" ht="35.25" x14ac:dyDescent="0.5">
      <c r="A43">
        <v>1</v>
      </c>
      <c r="B43" s="131">
        <f>SUBTOTAL(9,$A$16:A43)</f>
        <v>27</v>
      </c>
      <c r="C43" s="10" t="s">
        <v>157</v>
      </c>
      <c r="D43" s="123"/>
      <c r="E43" s="123">
        <v>1973</v>
      </c>
      <c r="F43" s="123" t="s">
        <v>420</v>
      </c>
      <c r="G43" s="123">
        <v>5</v>
      </c>
      <c r="H43" s="123">
        <v>4</v>
      </c>
      <c r="I43" s="124">
        <v>3917.6</v>
      </c>
      <c r="J43" s="124">
        <v>3656.2</v>
      </c>
      <c r="K43" s="125">
        <v>146</v>
      </c>
      <c r="L43" s="123" t="s">
        <v>418</v>
      </c>
      <c r="M43" s="123" t="s">
        <v>424</v>
      </c>
      <c r="N43" s="126" t="s">
        <v>438</v>
      </c>
      <c r="O43" s="128">
        <v>17407167.800000001</v>
      </c>
      <c r="P43" s="128">
        <v>0</v>
      </c>
      <c r="Q43" s="128">
        <v>0</v>
      </c>
      <c r="R43" s="128">
        <v>0</v>
      </c>
      <c r="S43" s="128">
        <f>O43-P43-Q43-R43</f>
        <v>17407167.800000001</v>
      </c>
      <c r="T43" s="128">
        <f t="shared" si="11"/>
        <v>4443.3244333265266</v>
      </c>
      <c r="U43" s="128">
        <v>4494.45</v>
      </c>
      <c r="V43" s="129"/>
      <c r="CR43" s="1"/>
    </row>
    <row r="44" spans="1:96" ht="35.25" x14ac:dyDescent="0.5">
      <c r="A44">
        <v>1</v>
      </c>
      <c r="B44" s="131">
        <f>SUBTOTAL(9,$A$16:A44)</f>
        <v>28</v>
      </c>
      <c r="C44" s="10" t="s">
        <v>158</v>
      </c>
      <c r="D44" s="123"/>
      <c r="E44" s="123">
        <v>1960</v>
      </c>
      <c r="F44" s="123" t="s">
        <v>420</v>
      </c>
      <c r="G44" s="123">
        <v>2</v>
      </c>
      <c r="H44" s="123">
        <v>2</v>
      </c>
      <c r="I44" s="124">
        <v>805.8</v>
      </c>
      <c r="J44" s="124">
        <v>710.7</v>
      </c>
      <c r="K44" s="125">
        <v>18</v>
      </c>
      <c r="L44" s="123" t="s">
        <v>418</v>
      </c>
      <c r="M44" s="123" t="s">
        <v>427</v>
      </c>
      <c r="N44" s="126" t="s">
        <v>485</v>
      </c>
      <c r="O44" s="128">
        <v>15117992.119999999</v>
      </c>
      <c r="P44" s="128">
        <v>0</v>
      </c>
      <c r="Q44" s="128">
        <v>0</v>
      </c>
      <c r="R44" s="128">
        <v>0</v>
      </c>
      <c r="S44" s="128">
        <f>O44-P44-Q44-R44</f>
        <v>15117992.119999999</v>
      </c>
      <c r="T44" s="128">
        <f t="shared" si="11"/>
        <v>18761.469496152891</v>
      </c>
      <c r="U44" s="128">
        <v>18761.47</v>
      </c>
      <c r="V44" s="129"/>
      <c r="CR44" s="1"/>
    </row>
    <row r="45" spans="1:96" ht="35.25" x14ac:dyDescent="0.5">
      <c r="A45">
        <v>1</v>
      </c>
      <c r="B45" s="131">
        <f>SUBTOTAL(9,$A$16:A45)</f>
        <v>29</v>
      </c>
      <c r="C45" s="10" t="s">
        <v>159</v>
      </c>
      <c r="D45" s="123"/>
      <c r="E45" s="123">
        <v>1974</v>
      </c>
      <c r="F45" s="123" t="s">
        <v>486</v>
      </c>
      <c r="G45" s="123">
        <v>2</v>
      </c>
      <c r="H45" s="123">
        <v>3</v>
      </c>
      <c r="I45" s="124">
        <v>865.2</v>
      </c>
      <c r="J45" s="124">
        <v>784.1</v>
      </c>
      <c r="K45" s="125">
        <v>47</v>
      </c>
      <c r="L45" s="123" t="s">
        <v>418</v>
      </c>
      <c r="M45" s="123" t="s">
        <v>424</v>
      </c>
      <c r="N45" s="126" t="s">
        <v>438</v>
      </c>
      <c r="O45" s="128">
        <v>9736689.1699999999</v>
      </c>
      <c r="P45" s="128">
        <v>0</v>
      </c>
      <c r="Q45" s="128">
        <v>0</v>
      </c>
      <c r="R45" s="128">
        <v>0</v>
      </c>
      <c r="S45" s="128">
        <f>O45-P45-Q45-R45</f>
        <v>9736689.1699999999</v>
      </c>
      <c r="T45" s="128">
        <f t="shared" si="11"/>
        <v>11253.68604946833</v>
      </c>
      <c r="U45" s="128">
        <v>11465.42</v>
      </c>
      <c r="V45" s="129"/>
      <c r="CR45" s="1"/>
    </row>
    <row r="46" spans="1:96" s="83" customFormat="1" ht="70.5" x14ac:dyDescent="0.25">
      <c r="A46" s="83">
        <v>1</v>
      </c>
      <c r="B46" s="11">
        <f>SUBTOTAL(9,$A$16:A46)</f>
        <v>30</v>
      </c>
      <c r="C46" s="10" t="s">
        <v>579</v>
      </c>
      <c r="D46" s="11"/>
      <c r="E46" s="11">
        <v>1986</v>
      </c>
      <c r="F46" s="11" t="s">
        <v>420</v>
      </c>
      <c r="G46" s="11">
        <v>2</v>
      </c>
      <c r="H46" s="11">
        <v>3</v>
      </c>
      <c r="I46" s="136">
        <v>923.3</v>
      </c>
      <c r="J46" s="136">
        <v>871.2</v>
      </c>
      <c r="K46" s="137">
        <v>47</v>
      </c>
      <c r="L46" s="11" t="s">
        <v>418</v>
      </c>
      <c r="M46" s="11" t="s">
        <v>424</v>
      </c>
      <c r="N46" s="138" t="s">
        <v>584</v>
      </c>
      <c r="O46" s="139">
        <v>8623509.2400000002</v>
      </c>
      <c r="P46" s="139">
        <v>0</v>
      </c>
      <c r="Q46" s="139">
        <v>0</v>
      </c>
      <c r="R46" s="139">
        <v>0</v>
      </c>
      <c r="S46" s="139">
        <f>O46-P46-Q46-R46</f>
        <v>8623509.2400000002</v>
      </c>
      <c r="T46" s="139">
        <f t="shared" si="11"/>
        <v>9339.8778728473953</v>
      </c>
      <c r="U46" s="139">
        <v>11378.72</v>
      </c>
      <c r="V46" s="140"/>
      <c r="CR46" s="141"/>
    </row>
    <row r="47" spans="1:96" ht="35.25" x14ac:dyDescent="0.5">
      <c r="A47">
        <v>1</v>
      </c>
      <c r="B47" s="131">
        <f>SUBTOTAL(9,$A$16:A47)</f>
        <v>31</v>
      </c>
      <c r="C47" s="10" t="s">
        <v>580</v>
      </c>
      <c r="D47" s="123"/>
      <c r="E47" s="123">
        <v>1986</v>
      </c>
      <c r="F47" s="123" t="s">
        <v>420</v>
      </c>
      <c r="G47" s="123">
        <v>2</v>
      </c>
      <c r="H47" s="123">
        <v>3</v>
      </c>
      <c r="I47" s="124">
        <v>866</v>
      </c>
      <c r="J47" s="124">
        <v>789.2</v>
      </c>
      <c r="K47" s="125">
        <v>26</v>
      </c>
      <c r="L47" s="123" t="s">
        <v>418</v>
      </c>
      <c r="M47" s="123" t="s">
        <v>425</v>
      </c>
      <c r="N47" s="126" t="s">
        <v>426</v>
      </c>
      <c r="O47" s="128">
        <v>9357069.8300000001</v>
      </c>
      <c r="P47" s="128">
        <v>0</v>
      </c>
      <c r="Q47" s="128">
        <v>0</v>
      </c>
      <c r="R47" s="128">
        <v>0</v>
      </c>
      <c r="S47" s="128">
        <f>O47-P47-Q47-R47</f>
        <v>9357069.8300000001</v>
      </c>
      <c r="T47" s="128">
        <f t="shared" si="11"/>
        <v>10804.930519630485</v>
      </c>
      <c r="U47" s="128">
        <v>13163.59</v>
      </c>
      <c r="V47" s="129"/>
      <c r="CR47" s="1"/>
    </row>
    <row r="48" spans="1:96" ht="35.25" x14ac:dyDescent="0.5">
      <c r="A48">
        <v>1</v>
      </c>
      <c r="B48" s="131">
        <f>SUBTOTAL(9,$A$16:A48)</f>
        <v>32</v>
      </c>
      <c r="C48" s="132" t="s">
        <v>603</v>
      </c>
      <c r="D48" s="133" t="s">
        <v>422</v>
      </c>
      <c r="E48" s="123">
        <v>1955</v>
      </c>
      <c r="F48" s="123" t="s">
        <v>420</v>
      </c>
      <c r="G48" s="123">
        <v>2</v>
      </c>
      <c r="H48" s="123" t="s">
        <v>318</v>
      </c>
      <c r="I48" s="124">
        <v>388.3</v>
      </c>
      <c r="J48" s="124">
        <v>388.3</v>
      </c>
      <c r="K48" s="125">
        <v>24</v>
      </c>
      <c r="L48" s="123" t="s">
        <v>418</v>
      </c>
      <c r="M48" s="123" t="s">
        <v>425</v>
      </c>
      <c r="N48" s="126" t="s">
        <v>426</v>
      </c>
      <c r="O48" s="134">
        <v>2998402.26</v>
      </c>
      <c r="P48" s="134">
        <v>0</v>
      </c>
      <c r="Q48" s="134">
        <v>0</v>
      </c>
      <c r="R48" s="134">
        <v>0</v>
      </c>
      <c r="S48" s="134">
        <f>O48-Q48-R48</f>
        <v>2998402.26</v>
      </c>
      <c r="T48" s="135">
        <f>O48/I48</f>
        <v>7721.8703579706407</v>
      </c>
      <c r="U48" s="134">
        <v>13302.36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142"/>
      <c r="AB48" s="1">
        <f>O48-P48-Q48-R48-S48</f>
        <v>0</v>
      </c>
      <c r="AD48" s="81">
        <v>450.1</v>
      </c>
      <c r="AE48">
        <f>AD48*8294.83/I48</f>
        <v>9614.9960932268859</v>
      </c>
      <c r="AH48" t="e">
        <f>VLOOKUP(C48,AI:AJ,2,FALSE)</f>
        <v>#N/A</v>
      </c>
      <c r="BU48" s="1">
        <f>U48-T48</f>
        <v>5580.4896420293599</v>
      </c>
      <c r="BW48" t="e">
        <f>VLOOKUP(C48,BX:BY,2,FALSE)</f>
        <v>#N/A</v>
      </c>
      <c r="CN48" s="1"/>
      <c r="CR48" s="1"/>
    </row>
    <row r="49" spans="1:96" ht="35.25" x14ac:dyDescent="0.5">
      <c r="B49" s="122" t="s">
        <v>415</v>
      </c>
      <c r="C49" s="130"/>
      <c r="D49" s="123" t="s">
        <v>423</v>
      </c>
      <c r="E49" s="123" t="s">
        <v>423</v>
      </c>
      <c r="F49" s="123" t="s">
        <v>423</v>
      </c>
      <c r="G49" s="123" t="s">
        <v>423</v>
      </c>
      <c r="H49" s="123" t="s">
        <v>423</v>
      </c>
      <c r="I49" s="124">
        <f>SUM(I50:I64)</f>
        <v>30827</v>
      </c>
      <c r="J49" s="124">
        <f t="shared" ref="J49:K49" si="12">SUM(J50:J64)</f>
        <v>23879.59</v>
      </c>
      <c r="K49" s="125">
        <f t="shared" si="12"/>
        <v>1334</v>
      </c>
      <c r="L49" s="123" t="s">
        <v>423</v>
      </c>
      <c r="M49" s="123" t="s">
        <v>423</v>
      </c>
      <c r="N49" s="126" t="s">
        <v>423</v>
      </c>
      <c r="O49" s="127">
        <f>SUM(O50:O64)</f>
        <v>120022693.7</v>
      </c>
      <c r="P49" s="127">
        <f t="shared" ref="P49:S49" si="13">SUM(P50:P64)</f>
        <v>0</v>
      </c>
      <c r="Q49" s="127">
        <f t="shared" si="13"/>
        <v>0</v>
      </c>
      <c r="R49" s="127">
        <f t="shared" si="13"/>
        <v>0</v>
      </c>
      <c r="S49" s="127">
        <f t="shared" si="13"/>
        <v>120022693.7</v>
      </c>
      <c r="T49" s="128">
        <f t="shared" si="11"/>
        <v>3893.4276348655399</v>
      </c>
      <c r="U49" s="128">
        <f>MAX(U50:U64)</f>
        <v>17969.662028029681</v>
      </c>
      <c r="V49" s="129"/>
      <c r="CR49" s="1"/>
    </row>
    <row r="50" spans="1:96" ht="35.25" x14ac:dyDescent="0.5">
      <c r="A50">
        <v>1</v>
      </c>
      <c r="B50" s="131">
        <f>SUBTOTAL(9,$A$16:A50)</f>
        <v>33</v>
      </c>
      <c r="C50" s="10" t="s">
        <v>114</v>
      </c>
      <c r="D50" s="123"/>
      <c r="E50" s="123">
        <v>1993</v>
      </c>
      <c r="F50" s="123" t="s">
        <v>420</v>
      </c>
      <c r="G50" s="123">
        <v>2</v>
      </c>
      <c r="H50" s="123" t="s">
        <v>318</v>
      </c>
      <c r="I50" s="124">
        <v>602.5</v>
      </c>
      <c r="J50" s="124">
        <v>381.6</v>
      </c>
      <c r="K50" s="125">
        <v>21</v>
      </c>
      <c r="L50" s="123" t="s">
        <v>418</v>
      </c>
      <c r="M50" s="123" t="s">
        <v>425</v>
      </c>
      <c r="N50" s="126" t="s">
        <v>426</v>
      </c>
      <c r="O50" s="128">
        <v>4823913.8</v>
      </c>
      <c r="P50" s="128">
        <v>0</v>
      </c>
      <c r="Q50" s="128">
        <v>0</v>
      </c>
      <c r="R50" s="128">
        <v>0</v>
      </c>
      <c r="S50" s="128">
        <f t="shared" ref="S50:S74" si="14">O50-P50-Q50-R50</f>
        <v>4823913.8</v>
      </c>
      <c r="T50" s="128">
        <f t="shared" si="11"/>
        <v>8006.4959336099582</v>
      </c>
      <c r="U50" s="128">
        <v>8157.13</v>
      </c>
      <c r="V50" s="129"/>
      <c r="CR50" s="1"/>
    </row>
    <row r="51" spans="1:96" ht="35.25" x14ac:dyDescent="0.5">
      <c r="A51">
        <v>1</v>
      </c>
      <c r="B51" s="131">
        <f>SUBTOTAL(9,$A$16:A51)</f>
        <v>34</v>
      </c>
      <c r="C51" s="10" t="s">
        <v>115</v>
      </c>
      <c r="D51" s="123"/>
      <c r="E51" s="123">
        <v>1958</v>
      </c>
      <c r="F51" s="123" t="s">
        <v>420</v>
      </c>
      <c r="G51" s="123">
        <v>2</v>
      </c>
      <c r="H51" s="123" t="s">
        <v>318</v>
      </c>
      <c r="I51" s="124">
        <v>412.4</v>
      </c>
      <c r="J51" s="124">
        <v>412.4</v>
      </c>
      <c r="K51" s="125">
        <v>21</v>
      </c>
      <c r="L51" s="123" t="s">
        <v>418</v>
      </c>
      <c r="M51" s="123" t="s">
        <v>425</v>
      </c>
      <c r="N51" s="126" t="s">
        <v>426</v>
      </c>
      <c r="O51" s="128">
        <v>4448062.7200000007</v>
      </c>
      <c r="P51" s="128">
        <v>0</v>
      </c>
      <c r="Q51" s="128">
        <v>0</v>
      </c>
      <c r="R51" s="128">
        <v>0</v>
      </c>
      <c r="S51" s="128">
        <f t="shared" si="14"/>
        <v>4448062.7200000007</v>
      </c>
      <c r="T51" s="128">
        <f t="shared" si="11"/>
        <v>10785.797090203689</v>
      </c>
      <c r="U51" s="128">
        <v>10785.8</v>
      </c>
      <c r="V51" s="129"/>
      <c r="CR51" s="1"/>
    </row>
    <row r="52" spans="1:96" ht="35.25" x14ac:dyDescent="0.5">
      <c r="A52">
        <v>1</v>
      </c>
      <c r="B52" s="131">
        <f>SUBTOTAL(9,$A$16:A52)</f>
        <v>35</v>
      </c>
      <c r="C52" s="10" t="s">
        <v>116</v>
      </c>
      <c r="D52" s="123"/>
      <c r="E52" s="123">
        <v>1962</v>
      </c>
      <c r="F52" s="123" t="s">
        <v>420</v>
      </c>
      <c r="G52" s="123">
        <v>2</v>
      </c>
      <c r="H52" s="123" t="s">
        <v>318</v>
      </c>
      <c r="I52" s="124">
        <v>314.60000000000002</v>
      </c>
      <c r="J52" s="124">
        <v>212.1</v>
      </c>
      <c r="K52" s="125">
        <v>19</v>
      </c>
      <c r="L52" s="123" t="s">
        <v>418</v>
      </c>
      <c r="M52" s="123" t="s">
        <v>425</v>
      </c>
      <c r="N52" s="126" t="s">
        <v>426</v>
      </c>
      <c r="O52" s="128">
        <v>3808352.9999999995</v>
      </c>
      <c r="P52" s="128">
        <v>0</v>
      </c>
      <c r="Q52" s="128">
        <v>0</v>
      </c>
      <c r="R52" s="128">
        <v>0</v>
      </c>
      <c r="S52" s="128">
        <f t="shared" si="14"/>
        <v>3808352.9999999995</v>
      </c>
      <c r="T52" s="128">
        <f t="shared" si="11"/>
        <v>12105.38143674507</v>
      </c>
      <c r="U52" s="128">
        <v>12333.14</v>
      </c>
      <c r="V52" s="129"/>
      <c r="CR52" s="1"/>
    </row>
    <row r="53" spans="1:96" ht="35.25" x14ac:dyDescent="0.5">
      <c r="A53">
        <v>1</v>
      </c>
      <c r="B53" s="131">
        <f>SUBTOTAL(9,$A$16:A53)</f>
        <v>36</v>
      </c>
      <c r="C53" s="10" t="s">
        <v>117</v>
      </c>
      <c r="D53" s="123"/>
      <c r="E53" s="123">
        <v>1963</v>
      </c>
      <c r="F53" s="123" t="s">
        <v>420</v>
      </c>
      <c r="G53" s="123">
        <v>5</v>
      </c>
      <c r="H53" s="123" t="s">
        <v>327</v>
      </c>
      <c r="I53" s="124">
        <v>3912.1</v>
      </c>
      <c r="J53" s="124">
        <v>2728.5</v>
      </c>
      <c r="K53" s="125">
        <v>110</v>
      </c>
      <c r="L53" s="123" t="s">
        <v>418</v>
      </c>
      <c r="M53" s="123" t="s">
        <v>424</v>
      </c>
      <c r="N53" s="126" t="s">
        <v>428</v>
      </c>
      <c r="O53" s="128">
        <v>13849476.09</v>
      </c>
      <c r="P53" s="128">
        <v>0</v>
      </c>
      <c r="Q53" s="128">
        <v>0</v>
      </c>
      <c r="R53" s="128">
        <v>0</v>
      </c>
      <c r="S53" s="128">
        <f t="shared" si="14"/>
        <v>13849476.09</v>
      </c>
      <c r="T53" s="128">
        <f t="shared" si="11"/>
        <v>3540.16412924005</v>
      </c>
      <c r="U53" s="128">
        <v>3851.47</v>
      </c>
      <c r="V53" s="129"/>
      <c r="CR53" s="1"/>
    </row>
    <row r="54" spans="1:96" ht="35.25" x14ac:dyDescent="0.5">
      <c r="A54">
        <v>1</v>
      </c>
      <c r="B54" s="131">
        <f>SUBTOTAL(9,$A$16:A54)</f>
        <v>37</v>
      </c>
      <c r="C54" s="10" t="s">
        <v>118</v>
      </c>
      <c r="D54" s="123"/>
      <c r="E54" s="123">
        <v>1965</v>
      </c>
      <c r="F54" s="123" t="s">
        <v>420</v>
      </c>
      <c r="G54" s="123">
        <v>2</v>
      </c>
      <c r="H54" s="123" t="s">
        <v>318</v>
      </c>
      <c r="I54" s="124">
        <v>389.7</v>
      </c>
      <c r="J54" s="124">
        <v>389.7</v>
      </c>
      <c r="K54" s="125">
        <v>18</v>
      </c>
      <c r="L54" s="123" t="s">
        <v>418</v>
      </c>
      <c r="M54" s="123" t="s">
        <v>425</v>
      </c>
      <c r="N54" s="126" t="s">
        <v>426</v>
      </c>
      <c r="O54" s="128">
        <v>5866133.0800000001</v>
      </c>
      <c r="P54" s="128">
        <v>0</v>
      </c>
      <c r="Q54" s="128">
        <v>0</v>
      </c>
      <c r="R54" s="128">
        <v>0</v>
      </c>
      <c r="S54" s="128">
        <f t="shared" si="14"/>
        <v>5866133.0800000001</v>
      </c>
      <c r="T54" s="128">
        <f t="shared" si="11"/>
        <v>15052.94606107262</v>
      </c>
      <c r="U54" s="128">
        <v>15332.84</v>
      </c>
      <c r="V54" s="129"/>
      <c r="CR54" s="1"/>
    </row>
    <row r="55" spans="1:96" ht="35.25" x14ac:dyDescent="0.5">
      <c r="A55">
        <v>1</v>
      </c>
      <c r="B55" s="131">
        <f>SUBTOTAL(9,$A$16:A55)</f>
        <v>38</v>
      </c>
      <c r="C55" s="10" t="s">
        <v>119</v>
      </c>
      <c r="D55" s="123"/>
      <c r="E55" s="123">
        <v>1965</v>
      </c>
      <c r="F55" s="123" t="s">
        <v>420</v>
      </c>
      <c r="G55" s="123">
        <v>5</v>
      </c>
      <c r="H55" s="123" t="s">
        <v>320</v>
      </c>
      <c r="I55" s="124">
        <v>1621.7</v>
      </c>
      <c r="J55" s="124">
        <v>1621.7</v>
      </c>
      <c r="K55" s="125">
        <v>64</v>
      </c>
      <c r="L55" s="123" t="s">
        <v>418</v>
      </c>
      <c r="M55" s="123" t="s">
        <v>424</v>
      </c>
      <c r="N55" s="126" t="s">
        <v>429</v>
      </c>
      <c r="O55" s="128">
        <v>8162569.9299999997</v>
      </c>
      <c r="P55" s="128">
        <v>0</v>
      </c>
      <c r="Q55" s="128">
        <v>0</v>
      </c>
      <c r="R55" s="128">
        <v>0</v>
      </c>
      <c r="S55" s="128">
        <f t="shared" si="14"/>
        <v>8162569.9299999997</v>
      </c>
      <c r="T55" s="128">
        <f t="shared" si="11"/>
        <v>5033.3415119935862</v>
      </c>
      <c r="U55" s="128">
        <v>5128.04</v>
      </c>
      <c r="V55" s="129"/>
      <c r="CR55" s="1"/>
    </row>
    <row r="56" spans="1:96" ht="35.25" x14ac:dyDescent="0.5">
      <c r="A56">
        <v>1</v>
      </c>
      <c r="B56" s="131">
        <f>SUBTOTAL(9,$A$16:A56)</f>
        <v>39</v>
      </c>
      <c r="C56" s="10" t="s">
        <v>120</v>
      </c>
      <c r="D56" s="123"/>
      <c r="E56" s="123">
        <v>1958</v>
      </c>
      <c r="F56" s="123" t="s">
        <v>420</v>
      </c>
      <c r="G56" s="123">
        <v>2</v>
      </c>
      <c r="H56" s="123" t="s">
        <v>320</v>
      </c>
      <c r="I56" s="124">
        <v>606.5</v>
      </c>
      <c r="J56" s="124">
        <v>561.79999999999995</v>
      </c>
      <c r="K56" s="125">
        <v>42</v>
      </c>
      <c r="L56" s="123" t="s">
        <v>418</v>
      </c>
      <c r="M56" s="123" t="s">
        <v>425</v>
      </c>
      <c r="N56" s="126" t="s">
        <v>426</v>
      </c>
      <c r="O56" s="128">
        <v>10898600.020000001</v>
      </c>
      <c r="P56" s="128">
        <v>0</v>
      </c>
      <c r="Q56" s="128">
        <v>0</v>
      </c>
      <c r="R56" s="128">
        <v>0</v>
      </c>
      <c r="S56" s="128">
        <f t="shared" si="14"/>
        <v>10898600.020000001</v>
      </c>
      <c r="T56" s="128">
        <f t="shared" si="11"/>
        <v>17969.662028029681</v>
      </c>
      <c r="U56" s="128">
        <v>17969.662028029681</v>
      </c>
      <c r="V56" s="129"/>
      <c r="CR56" s="1"/>
    </row>
    <row r="57" spans="1:96" ht="35.25" x14ac:dyDescent="0.5">
      <c r="A57">
        <v>1</v>
      </c>
      <c r="B57" s="131">
        <f>SUBTOTAL(9,$A$16:A57)</f>
        <v>40</v>
      </c>
      <c r="C57" s="10" t="s">
        <v>121</v>
      </c>
      <c r="D57" s="123"/>
      <c r="E57" s="123">
        <v>1962</v>
      </c>
      <c r="F57" s="123" t="s">
        <v>420</v>
      </c>
      <c r="G57" s="123">
        <v>5</v>
      </c>
      <c r="H57" s="123" t="s">
        <v>320</v>
      </c>
      <c r="I57" s="124">
        <v>1604.1</v>
      </c>
      <c r="J57" s="124">
        <v>1604.1000000000001</v>
      </c>
      <c r="K57" s="125">
        <v>48</v>
      </c>
      <c r="L57" s="123" t="s">
        <v>418</v>
      </c>
      <c r="M57" s="123" t="s">
        <v>424</v>
      </c>
      <c r="N57" s="126" t="s">
        <v>430</v>
      </c>
      <c r="O57" s="128">
        <v>7616706</v>
      </c>
      <c r="P57" s="128">
        <v>0</v>
      </c>
      <c r="Q57" s="128">
        <v>0</v>
      </c>
      <c r="R57" s="128">
        <v>0</v>
      </c>
      <c r="S57" s="128">
        <f t="shared" si="14"/>
        <v>7616706</v>
      </c>
      <c r="T57" s="128">
        <f t="shared" si="11"/>
        <v>4748.2737983916213</v>
      </c>
      <c r="U57" s="128">
        <v>4837.6099999999997</v>
      </c>
      <c r="V57" s="129"/>
      <c r="CR57" s="1"/>
    </row>
    <row r="58" spans="1:96" ht="35.25" x14ac:dyDescent="0.5">
      <c r="A58">
        <v>1</v>
      </c>
      <c r="B58" s="131">
        <f>SUBTOTAL(9,$A$16:A58)</f>
        <v>41</v>
      </c>
      <c r="C58" s="10" t="s">
        <v>122</v>
      </c>
      <c r="D58" s="123"/>
      <c r="E58" s="123">
        <v>1958</v>
      </c>
      <c r="F58" s="123" t="s">
        <v>420</v>
      </c>
      <c r="G58" s="123">
        <v>2</v>
      </c>
      <c r="H58" s="123" t="s">
        <v>318</v>
      </c>
      <c r="I58" s="124">
        <v>426.2</v>
      </c>
      <c r="J58" s="124">
        <v>385.2</v>
      </c>
      <c r="K58" s="125">
        <v>13</v>
      </c>
      <c r="L58" s="123" t="s">
        <v>418</v>
      </c>
      <c r="M58" s="123" t="s">
        <v>425</v>
      </c>
      <c r="N58" s="126" t="s">
        <v>426</v>
      </c>
      <c r="O58" s="128">
        <v>5386458</v>
      </c>
      <c r="P58" s="128">
        <v>0</v>
      </c>
      <c r="Q58" s="128">
        <v>0</v>
      </c>
      <c r="R58" s="128">
        <v>0</v>
      </c>
      <c r="S58" s="128">
        <f t="shared" si="14"/>
        <v>5386458</v>
      </c>
      <c r="T58" s="128">
        <f t="shared" si="11"/>
        <v>12638.334115438762</v>
      </c>
      <c r="U58" s="128">
        <v>12638.33</v>
      </c>
      <c r="V58" s="129"/>
      <c r="CR58" s="1"/>
    </row>
    <row r="59" spans="1:96" ht="35.25" x14ac:dyDescent="0.5">
      <c r="A59">
        <v>1</v>
      </c>
      <c r="B59" s="131">
        <f>SUBTOTAL(9,$A$16:A59)</f>
        <v>42</v>
      </c>
      <c r="C59" s="10" t="s">
        <v>600</v>
      </c>
      <c r="D59" s="123"/>
      <c r="E59" s="123">
        <v>1959</v>
      </c>
      <c r="F59" s="123" t="s">
        <v>420</v>
      </c>
      <c r="G59" s="123">
        <v>2</v>
      </c>
      <c r="H59" s="123">
        <v>1</v>
      </c>
      <c r="I59" s="124">
        <v>309.5</v>
      </c>
      <c r="J59" s="124">
        <v>286.89999999999998</v>
      </c>
      <c r="K59" s="125">
        <v>11</v>
      </c>
      <c r="L59" s="123" t="s">
        <v>418</v>
      </c>
      <c r="M59" s="123" t="s">
        <v>424</v>
      </c>
      <c r="N59" s="126" t="s">
        <v>432</v>
      </c>
      <c r="O59" s="128">
        <v>4668263.6900000004</v>
      </c>
      <c r="P59" s="128">
        <v>0</v>
      </c>
      <c r="Q59" s="128">
        <v>0</v>
      </c>
      <c r="R59" s="128">
        <v>0</v>
      </c>
      <c r="S59" s="128">
        <f t="shared" si="14"/>
        <v>4668263.6900000004</v>
      </c>
      <c r="T59" s="128">
        <f t="shared" si="11"/>
        <v>15083.242940226173</v>
      </c>
      <c r="U59" s="128">
        <v>15083.24</v>
      </c>
      <c r="V59" s="129"/>
      <c r="CR59" s="1"/>
    </row>
    <row r="60" spans="1:96" ht="35.25" x14ac:dyDescent="0.5">
      <c r="A60">
        <v>1</v>
      </c>
      <c r="B60" s="131">
        <f>SUBTOTAL(9,$A$16:A60)</f>
        <v>43</v>
      </c>
      <c r="C60" s="10" t="s">
        <v>123</v>
      </c>
      <c r="D60" s="123"/>
      <c r="E60" s="123">
        <v>1966</v>
      </c>
      <c r="F60" s="123" t="s">
        <v>420</v>
      </c>
      <c r="G60" s="123">
        <v>5</v>
      </c>
      <c r="H60" s="123" t="s">
        <v>322</v>
      </c>
      <c r="I60" s="124">
        <v>4154.8999999999996</v>
      </c>
      <c r="J60" s="124">
        <v>3215.8</v>
      </c>
      <c r="K60" s="125">
        <v>147</v>
      </c>
      <c r="L60" s="123" t="s">
        <v>418</v>
      </c>
      <c r="M60" s="123" t="s">
        <v>424</v>
      </c>
      <c r="N60" s="126" t="s">
        <v>431</v>
      </c>
      <c r="O60" s="128">
        <v>4563144.87</v>
      </c>
      <c r="P60" s="128">
        <v>0</v>
      </c>
      <c r="Q60" s="128">
        <v>0</v>
      </c>
      <c r="R60" s="128">
        <v>0</v>
      </c>
      <c r="S60" s="128">
        <f t="shared" si="14"/>
        <v>4563144.87</v>
      </c>
      <c r="T60" s="128">
        <f t="shared" si="11"/>
        <v>1098.2562444342825</v>
      </c>
      <c r="U60" s="128">
        <v>1375.6</v>
      </c>
      <c r="V60" s="129"/>
      <c r="CR60" s="1"/>
    </row>
    <row r="61" spans="1:96" ht="35.25" x14ac:dyDescent="0.5">
      <c r="A61">
        <v>1</v>
      </c>
      <c r="B61" s="131">
        <f>SUBTOTAL(9,$A$16:A61)</f>
        <v>44</v>
      </c>
      <c r="C61" s="132" t="s">
        <v>604</v>
      </c>
      <c r="D61" s="133" t="s">
        <v>422</v>
      </c>
      <c r="E61" s="123">
        <v>1937</v>
      </c>
      <c r="F61" s="123" t="s">
        <v>420</v>
      </c>
      <c r="G61" s="123" t="s">
        <v>322</v>
      </c>
      <c r="H61" s="123" t="s">
        <v>327</v>
      </c>
      <c r="I61" s="124">
        <v>1585.9</v>
      </c>
      <c r="J61" s="124">
        <v>1585.9</v>
      </c>
      <c r="K61" s="125">
        <v>36</v>
      </c>
      <c r="L61" s="123" t="s">
        <v>418</v>
      </c>
      <c r="M61" s="123" t="s">
        <v>425</v>
      </c>
      <c r="N61" s="126" t="s">
        <v>426</v>
      </c>
      <c r="O61" s="134">
        <v>6153634.2399999993</v>
      </c>
      <c r="P61" s="134">
        <v>0</v>
      </c>
      <c r="Q61" s="134">
        <v>0</v>
      </c>
      <c r="R61" s="134">
        <v>0</v>
      </c>
      <c r="S61" s="134">
        <f>O61-Q61-R61</f>
        <v>6153634.2399999993</v>
      </c>
      <c r="T61" s="135">
        <f>O61/I61</f>
        <v>3880.2158017529473</v>
      </c>
      <c r="U61" s="134">
        <v>14892.85</v>
      </c>
      <c r="V61" s="76"/>
      <c r="W61" s="76"/>
      <c r="X61" s="76"/>
      <c r="Y61" s="76"/>
      <c r="Z61" s="76"/>
      <c r="AA61" s="142"/>
      <c r="AB61" s="1"/>
      <c r="AD61" s="81"/>
      <c r="BU61" s="1"/>
      <c r="CN61" s="1"/>
      <c r="CR61" s="1"/>
    </row>
    <row r="62" spans="1:96" ht="35.25" x14ac:dyDescent="0.5">
      <c r="A62">
        <v>1</v>
      </c>
      <c r="B62" s="131">
        <f>SUBTOTAL(9,$A$16:A62)</f>
        <v>45</v>
      </c>
      <c r="C62" s="132" t="s">
        <v>662</v>
      </c>
      <c r="D62" s="133"/>
      <c r="E62" s="123">
        <v>1972</v>
      </c>
      <c r="F62" s="123" t="s">
        <v>420</v>
      </c>
      <c r="G62" s="123">
        <v>5</v>
      </c>
      <c r="H62" s="123" t="s">
        <v>321</v>
      </c>
      <c r="I62" s="124">
        <v>6486.8</v>
      </c>
      <c r="J62" s="124">
        <v>6251.6</v>
      </c>
      <c r="K62" s="125">
        <v>253</v>
      </c>
      <c r="L62" s="123" t="s">
        <v>418</v>
      </c>
      <c r="M62" s="123" t="s">
        <v>424</v>
      </c>
      <c r="N62" s="126" t="s">
        <v>665</v>
      </c>
      <c r="O62" s="134">
        <v>21910638.309999999</v>
      </c>
      <c r="P62" s="134">
        <v>0</v>
      </c>
      <c r="Q62" s="134">
        <v>0</v>
      </c>
      <c r="R62" s="134">
        <v>0</v>
      </c>
      <c r="S62" s="134">
        <f t="shared" ref="S62" si="15">O62-Q62-R62</f>
        <v>21910638.309999999</v>
      </c>
      <c r="T62" s="135">
        <f t="shared" ref="T62" si="16">O62/I62</f>
        <v>3377.7268159955597</v>
      </c>
      <c r="U62" s="134">
        <v>4022.94</v>
      </c>
      <c r="V62" s="76"/>
      <c r="W62" s="76"/>
      <c r="X62" s="76"/>
      <c r="Y62" s="76"/>
      <c r="Z62" s="76"/>
      <c r="AA62" s="142"/>
      <c r="AB62" s="1"/>
      <c r="AD62" s="81"/>
      <c r="BU62" s="1"/>
      <c r="CN62" s="1"/>
      <c r="CR62" s="1"/>
    </row>
    <row r="63" spans="1:96" ht="35.25" x14ac:dyDescent="0.5">
      <c r="A63">
        <v>1</v>
      </c>
      <c r="B63" s="131">
        <f>SUBTOTAL(9,$A$16:A63)</f>
        <v>46</v>
      </c>
      <c r="C63" s="132" t="s">
        <v>664</v>
      </c>
      <c r="D63" s="133" t="s">
        <v>422</v>
      </c>
      <c r="E63" s="123">
        <v>1930</v>
      </c>
      <c r="F63" s="123" t="s">
        <v>420</v>
      </c>
      <c r="G63" s="123">
        <v>4</v>
      </c>
      <c r="H63" s="123">
        <v>1</v>
      </c>
      <c r="I63" s="124">
        <v>3688.5</v>
      </c>
      <c r="J63" s="124">
        <v>1975.2</v>
      </c>
      <c r="K63" s="125">
        <v>211</v>
      </c>
      <c r="L63" s="123" t="s">
        <v>418</v>
      </c>
      <c r="M63" s="123" t="s">
        <v>424</v>
      </c>
      <c r="N63" s="126" t="s">
        <v>450</v>
      </c>
      <c r="O63" s="134">
        <v>630081.39</v>
      </c>
      <c r="P63" s="134">
        <v>0</v>
      </c>
      <c r="Q63" s="134">
        <v>0</v>
      </c>
      <c r="R63" s="134">
        <v>0</v>
      </c>
      <c r="S63" s="134">
        <f t="shared" ref="S63:S64" si="17">O63-Q63-R63</f>
        <v>630081.39</v>
      </c>
      <c r="T63" s="135">
        <f t="shared" ref="T63:T64" si="18">O63/I63</f>
        <v>170.82320455469704</v>
      </c>
      <c r="U63" s="134">
        <f>T63</f>
        <v>170.82320455469704</v>
      </c>
      <c r="V63" s="76"/>
      <c r="W63" s="76"/>
      <c r="X63" s="76"/>
      <c r="Y63" s="76"/>
      <c r="Z63" s="76"/>
      <c r="AA63" s="142"/>
      <c r="AB63" s="1">
        <f>O63-P63-Q63-R63-S65</f>
        <v>-89282829.129999995</v>
      </c>
      <c r="AD63" s="81"/>
      <c r="BU63" s="1"/>
      <c r="CN63" s="1"/>
      <c r="CR63" s="1"/>
    </row>
    <row r="64" spans="1:96" ht="35.25" x14ac:dyDescent="0.5">
      <c r="A64">
        <v>1</v>
      </c>
      <c r="B64" s="131">
        <f>SUBTOTAL(9,$A$16:A64)</f>
        <v>47</v>
      </c>
      <c r="C64" s="132" t="s">
        <v>719</v>
      </c>
      <c r="D64" s="133"/>
      <c r="E64" s="123">
        <v>1973</v>
      </c>
      <c r="F64" s="123" t="s">
        <v>420</v>
      </c>
      <c r="G64" s="123">
        <v>5</v>
      </c>
      <c r="H64" s="123">
        <v>1</v>
      </c>
      <c r="I64" s="124">
        <v>4711.6000000000004</v>
      </c>
      <c r="J64" s="124">
        <v>2267.09</v>
      </c>
      <c r="K64" s="125">
        <v>320</v>
      </c>
      <c r="L64" s="123" t="s">
        <v>418</v>
      </c>
      <c r="M64" s="123" t="s">
        <v>425</v>
      </c>
      <c r="N64" s="126" t="s">
        <v>426</v>
      </c>
      <c r="O64" s="134">
        <v>17236658.559999999</v>
      </c>
      <c r="P64" s="134">
        <v>0</v>
      </c>
      <c r="Q64" s="134">
        <v>0</v>
      </c>
      <c r="R64" s="134">
        <v>0</v>
      </c>
      <c r="S64" s="134">
        <f t="shared" si="17"/>
        <v>17236658.559999999</v>
      </c>
      <c r="T64" s="135">
        <f t="shared" si="18"/>
        <v>3658.345054758468</v>
      </c>
      <c r="U64" s="134">
        <v>4133.07</v>
      </c>
      <c r="V64" s="143"/>
      <c r="W64" s="143"/>
      <c r="X64" s="143"/>
      <c r="Y64" s="143"/>
      <c r="Z64" s="143"/>
      <c r="AA64" s="142"/>
      <c r="AB64" s="1"/>
      <c r="AD64" s="144"/>
      <c r="BU64" s="1"/>
      <c r="CN64" s="1"/>
      <c r="CR64" s="1"/>
    </row>
    <row r="65" spans="1:96" ht="35.25" x14ac:dyDescent="0.5">
      <c r="B65" s="145" t="s">
        <v>472</v>
      </c>
      <c r="C65" s="145"/>
      <c r="D65" s="123" t="s">
        <v>423</v>
      </c>
      <c r="E65" s="123" t="s">
        <v>423</v>
      </c>
      <c r="F65" s="123" t="s">
        <v>423</v>
      </c>
      <c r="G65" s="123" t="s">
        <v>423</v>
      </c>
      <c r="H65" s="123" t="s">
        <v>423</v>
      </c>
      <c r="I65" s="124">
        <f>SUM(I66:I74)</f>
        <v>32835.410000000003</v>
      </c>
      <c r="J65" s="124">
        <f>SUM(J66:J74)</f>
        <v>25853.360000000001</v>
      </c>
      <c r="K65" s="125">
        <f>SUM(K66:K74)</f>
        <v>1177</v>
      </c>
      <c r="L65" s="123" t="s">
        <v>423</v>
      </c>
      <c r="M65" s="123" t="s">
        <v>423</v>
      </c>
      <c r="N65" s="126" t="s">
        <v>423</v>
      </c>
      <c r="O65" s="128">
        <v>89912910.519999996</v>
      </c>
      <c r="P65" s="128">
        <v>0</v>
      </c>
      <c r="Q65" s="128">
        <v>0</v>
      </c>
      <c r="R65" s="128">
        <v>0</v>
      </c>
      <c r="S65" s="128">
        <f t="shared" si="14"/>
        <v>89912910.519999996</v>
      </c>
      <c r="T65" s="128">
        <f t="shared" si="11"/>
        <v>2738.2910863607303</v>
      </c>
      <c r="U65" s="128">
        <f>MAX(U66:U74)</f>
        <v>17296.64</v>
      </c>
      <c r="V65" s="129"/>
      <c r="CR65" s="1"/>
    </row>
    <row r="66" spans="1:96" s="83" customFormat="1" ht="70.5" x14ac:dyDescent="0.25">
      <c r="A66" s="83">
        <v>1</v>
      </c>
      <c r="B66" s="11">
        <f>SUBTOTAL(9,$A$16:A66)</f>
        <v>48</v>
      </c>
      <c r="C66" s="10" t="s">
        <v>400</v>
      </c>
      <c r="D66" s="11" t="s">
        <v>422</v>
      </c>
      <c r="E66" s="11">
        <v>1846</v>
      </c>
      <c r="F66" s="11" t="s">
        <v>420</v>
      </c>
      <c r="G66" s="11">
        <v>2</v>
      </c>
      <c r="H66" s="11" t="s">
        <v>318</v>
      </c>
      <c r="I66" s="136">
        <v>378.89</v>
      </c>
      <c r="J66" s="136">
        <v>325.39999999999998</v>
      </c>
      <c r="K66" s="137">
        <v>6</v>
      </c>
      <c r="L66" s="11" t="s">
        <v>418</v>
      </c>
      <c r="M66" s="11" t="s">
        <v>424</v>
      </c>
      <c r="N66" s="138" t="s">
        <v>475</v>
      </c>
      <c r="O66" s="139">
        <v>6553523.8999999994</v>
      </c>
      <c r="P66" s="139">
        <v>0</v>
      </c>
      <c r="Q66" s="139">
        <v>0</v>
      </c>
      <c r="R66" s="139">
        <v>0</v>
      </c>
      <c r="S66" s="139">
        <f t="shared" si="14"/>
        <v>6553523.8999999994</v>
      </c>
      <c r="T66" s="139">
        <f t="shared" si="11"/>
        <v>17296.63992187706</v>
      </c>
      <c r="U66" s="139">
        <v>17296.64</v>
      </c>
      <c r="V66" s="140"/>
      <c r="CR66" s="141"/>
    </row>
    <row r="67" spans="1:96" s="83" customFormat="1" ht="35.25" x14ac:dyDescent="0.25">
      <c r="A67">
        <v>1</v>
      </c>
      <c r="B67" s="131">
        <f>SUBTOTAL(9,$A$16:A67)</f>
        <v>49</v>
      </c>
      <c r="C67" s="10" t="s">
        <v>391</v>
      </c>
      <c r="D67" s="146"/>
      <c r="E67" s="11">
        <v>1960</v>
      </c>
      <c r="F67" s="11" t="s">
        <v>420</v>
      </c>
      <c r="G67" s="11">
        <v>3</v>
      </c>
      <c r="H67" s="11" t="s">
        <v>327</v>
      </c>
      <c r="I67" s="136">
        <v>1525.7</v>
      </c>
      <c r="J67" s="136">
        <v>1013</v>
      </c>
      <c r="K67" s="137">
        <v>36</v>
      </c>
      <c r="L67" s="11" t="s">
        <v>418</v>
      </c>
      <c r="M67" s="11" t="s">
        <v>424</v>
      </c>
      <c r="N67" s="138" t="s">
        <v>476</v>
      </c>
      <c r="O67" s="139">
        <v>10126813.050000001</v>
      </c>
      <c r="P67" s="139">
        <v>0</v>
      </c>
      <c r="Q67" s="139">
        <v>0</v>
      </c>
      <c r="R67" s="139">
        <v>0</v>
      </c>
      <c r="S67" s="139">
        <f t="shared" si="14"/>
        <v>10126813.050000001</v>
      </c>
      <c r="T67" s="139">
        <f t="shared" si="11"/>
        <v>6637.4864324572327</v>
      </c>
      <c r="U67" s="139">
        <v>6637.49</v>
      </c>
      <c r="V67" s="140"/>
      <c r="CR67" s="141"/>
    </row>
    <row r="68" spans="1:96" s="83" customFormat="1" ht="35.25" x14ac:dyDescent="0.25">
      <c r="A68">
        <v>1</v>
      </c>
      <c r="B68" s="131">
        <f>SUBTOTAL(9,$A$16:A68)</f>
        <v>50</v>
      </c>
      <c r="C68" s="10" t="s">
        <v>408</v>
      </c>
      <c r="D68" s="146"/>
      <c r="E68" s="11">
        <v>1998</v>
      </c>
      <c r="F68" s="11" t="s">
        <v>421</v>
      </c>
      <c r="G68" s="11">
        <v>9</v>
      </c>
      <c r="H68" s="11" t="s">
        <v>335</v>
      </c>
      <c r="I68" s="136">
        <v>12237.2</v>
      </c>
      <c r="J68" s="136">
        <v>9642.2000000000007</v>
      </c>
      <c r="K68" s="137">
        <v>468</v>
      </c>
      <c r="L68" s="11" t="s">
        <v>418</v>
      </c>
      <c r="M68" s="11" t="s">
        <v>424</v>
      </c>
      <c r="N68" s="138" t="s">
        <v>477</v>
      </c>
      <c r="O68" s="139">
        <v>8005053</v>
      </c>
      <c r="P68" s="139">
        <v>0</v>
      </c>
      <c r="Q68" s="139">
        <v>0</v>
      </c>
      <c r="R68" s="139">
        <v>0</v>
      </c>
      <c r="S68" s="139">
        <f t="shared" si="14"/>
        <v>8005053</v>
      </c>
      <c r="T68" s="139">
        <f t="shared" si="11"/>
        <v>654.15724185271142</v>
      </c>
      <c r="U68" s="139">
        <v>680.43</v>
      </c>
      <c r="V68" s="140"/>
      <c r="CR68" s="141"/>
    </row>
    <row r="69" spans="1:96" s="83" customFormat="1" ht="35.25" x14ac:dyDescent="0.25">
      <c r="A69">
        <v>1</v>
      </c>
      <c r="B69" s="131">
        <f>SUBTOTAL(9,$A$16:A69)</f>
        <v>51</v>
      </c>
      <c r="C69" s="10" t="s">
        <v>385</v>
      </c>
      <c r="D69" s="146"/>
      <c r="E69" s="11">
        <v>1961</v>
      </c>
      <c r="F69" s="11" t="s">
        <v>420</v>
      </c>
      <c r="G69" s="11">
        <v>3</v>
      </c>
      <c r="H69" s="11" t="s">
        <v>320</v>
      </c>
      <c r="I69" s="136">
        <v>958.2</v>
      </c>
      <c r="J69" s="136">
        <v>958.2</v>
      </c>
      <c r="K69" s="137">
        <v>42</v>
      </c>
      <c r="L69" s="11" t="s">
        <v>418</v>
      </c>
      <c r="M69" s="11" t="s">
        <v>424</v>
      </c>
      <c r="N69" s="138" t="s">
        <v>478</v>
      </c>
      <c r="O69" s="139">
        <v>7351009.9100000001</v>
      </c>
      <c r="P69" s="139">
        <v>0</v>
      </c>
      <c r="Q69" s="139">
        <v>0</v>
      </c>
      <c r="R69" s="139">
        <v>0</v>
      </c>
      <c r="S69" s="139">
        <f t="shared" si="14"/>
        <v>7351009.9100000001</v>
      </c>
      <c r="T69" s="139">
        <f t="shared" si="11"/>
        <v>7671.6864015863075</v>
      </c>
      <c r="U69" s="139">
        <v>7816.02</v>
      </c>
      <c r="V69" s="140"/>
      <c r="CR69" s="141"/>
    </row>
    <row r="70" spans="1:96" s="83" customFormat="1" ht="35.25" x14ac:dyDescent="0.25">
      <c r="A70">
        <v>1</v>
      </c>
      <c r="B70" s="131">
        <f>SUBTOTAL(9,$A$16:A70)</f>
        <v>52</v>
      </c>
      <c r="C70" s="10" t="s">
        <v>405</v>
      </c>
      <c r="D70" s="146"/>
      <c r="E70" s="11">
        <v>1998</v>
      </c>
      <c r="F70" s="11" t="s">
        <v>420</v>
      </c>
      <c r="G70" s="11">
        <v>9</v>
      </c>
      <c r="H70" s="11" t="s">
        <v>327</v>
      </c>
      <c r="I70" s="136">
        <v>7039.8</v>
      </c>
      <c r="J70" s="136">
        <v>6369.3</v>
      </c>
      <c r="K70" s="137">
        <v>304</v>
      </c>
      <c r="L70" s="11" t="s">
        <v>418</v>
      </c>
      <c r="M70" s="11" t="s">
        <v>424</v>
      </c>
      <c r="N70" s="138" t="s">
        <v>479</v>
      </c>
      <c r="O70" s="139">
        <v>12489844.5</v>
      </c>
      <c r="P70" s="139">
        <v>0</v>
      </c>
      <c r="Q70" s="139">
        <v>0</v>
      </c>
      <c r="R70" s="139">
        <v>0</v>
      </c>
      <c r="S70" s="139">
        <f t="shared" si="14"/>
        <v>12489844.5</v>
      </c>
      <c r="T70" s="139">
        <f t="shared" si="11"/>
        <v>1774.1760419330094</v>
      </c>
      <c r="U70" s="139">
        <v>1774.18</v>
      </c>
      <c r="V70" s="140"/>
      <c r="CR70" s="141"/>
    </row>
    <row r="71" spans="1:96" s="83" customFormat="1" ht="35.25" x14ac:dyDescent="0.25">
      <c r="A71">
        <v>1</v>
      </c>
      <c r="B71" s="131">
        <f>SUBTOTAL(9,$A$16:A71)</f>
        <v>53</v>
      </c>
      <c r="C71" s="10" t="s">
        <v>407</v>
      </c>
      <c r="D71" s="146"/>
      <c r="E71" s="11">
        <v>1968</v>
      </c>
      <c r="F71" s="11" t="s">
        <v>420</v>
      </c>
      <c r="G71" s="11">
        <v>5</v>
      </c>
      <c r="H71" s="11" t="s">
        <v>324</v>
      </c>
      <c r="I71" s="136">
        <v>6972.26</v>
      </c>
      <c r="J71" s="136">
        <v>4567.2</v>
      </c>
      <c r="K71" s="137">
        <v>191</v>
      </c>
      <c r="L71" s="11" t="s">
        <v>418</v>
      </c>
      <c r="M71" s="11" t="s">
        <v>424</v>
      </c>
      <c r="N71" s="138" t="s">
        <v>478</v>
      </c>
      <c r="O71" s="139">
        <v>19397211.279999997</v>
      </c>
      <c r="P71" s="139">
        <v>0</v>
      </c>
      <c r="Q71" s="139">
        <v>0</v>
      </c>
      <c r="R71" s="139">
        <v>0</v>
      </c>
      <c r="S71" s="139">
        <f t="shared" si="14"/>
        <v>19397211.279999997</v>
      </c>
      <c r="T71" s="139">
        <f t="shared" si="11"/>
        <v>2782.0550696617734</v>
      </c>
      <c r="U71" s="139">
        <v>2834.4</v>
      </c>
      <c r="V71" s="140"/>
      <c r="CR71" s="141"/>
    </row>
    <row r="72" spans="1:96" s="83" customFormat="1" ht="35.25" x14ac:dyDescent="0.25">
      <c r="A72">
        <v>1</v>
      </c>
      <c r="B72" s="131">
        <f>SUBTOTAL(9,$A$16:A72)</f>
        <v>54</v>
      </c>
      <c r="C72" s="10" t="s">
        <v>397</v>
      </c>
      <c r="D72" s="146"/>
      <c r="E72" s="11">
        <v>1964</v>
      </c>
      <c r="F72" s="11" t="s">
        <v>420</v>
      </c>
      <c r="G72" s="11">
        <v>4</v>
      </c>
      <c r="H72" s="11" t="s">
        <v>327</v>
      </c>
      <c r="I72" s="136">
        <v>2740.1</v>
      </c>
      <c r="J72" s="136">
        <v>2056.6</v>
      </c>
      <c r="K72" s="137">
        <v>92</v>
      </c>
      <c r="L72" s="11" t="s">
        <v>418</v>
      </c>
      <c r="M72" s="11" t="s">
        <v>424</v>
      </c>
      <c r="N72" s="138" t="s">
        <v>480</v>
      </c>
      <c r="O72" s="139">
        <v>11171168.800000001</v>
      </c>
      <c r="P72" s="139">
        <v>0</v>
      </c>
      <c r="Q72" s="139">
        <v>0</v>
      </c>
      <c r="R72" s="139">
        <v>0</v>
      </c>
      <c r="S72" s="139">
        <f t="shared" si="14"/>
        <v>11171168.800000001</v>
      </c>
      <c r="T72" s="139">
        <f t="shared" si="11"/>
        <v>4076.9201124046572</v>
      </c>
      <c r="U72" s="139">
        <v>4153.63</v>
      </c>
      <c r="V72" s="140"/>
      <c r="CR72" s="141"/>
    </row>
    <row r="73" spans="1:96" s="83" customFormat="1" ht="35.25" x14ac:dyDescent="0.25">
      <c r="A73">
        <v>1</v>
      </c>
      <c r="B73" s="131">
        <f>SUBTOTAL(9,$A$16:A73)</f>
        <v>55</v>
      </c>
      <c r="C73" s="10" t="s">
        <v>392</v>
      </c>
      <c r="D73" s="146"/>
      <c r="E73" s="11">
        <v>1963</v>
      </c>
      <c r="F73" s="11" t="s">
        <v>420</v>
      </c>
      <c r="G73" s="11">
        <v>2</v>
      </c>
      <c r="H73" s="11" t="s">
        <v>320</v>
      </c>
      <c r="I73" s="136">
        <v>372.86</v>
      </c>
      <c r="J73" s="136">
        <v>372.86</v>
      </c>
      <c r="K73" s="137">
        <v>16</v>
      </c>
      <c r="L73" s="11" t="s">
        <v>418</v>
      </c>
      <c r="M73" s="11" t="s">
        <v>425</v>
      </c>
      <c r="N73" s="138" t="s">
        <v>426</v>
      </c>
      <c r="O73" s="139">
        <v>7709360.4799999995</v>
      </c>
      <c r="P73" s="139">
        <v>0</v>
      </c>
      <c r="Q73" s="139">
        <v>0</v>
      </c>
      <c r="R73" s="139">
        <v>0</v>
      </c>
      <c r="S73" s="139">
        <f t="shared" si="14"/>
        <v>7709360.4799999995</v>
      </c>
      <c r="T73" s="139">
        <f t="shared" si="11"/>
        <v>20676.287292817677</v>
      </c>
      <c r="U73" s="139">
        <v>16649.7</v>
      </c>
      <c r="V73" s="140"/>
      <c r="CR73" s="141"/>
    </row>
    <row r="74" spans="1:96" s="83" customFormat="1" ht="35.25" x14ac:dyDescent="0.25">
      <c r="A74">
        <v>1</v>
      </c>
      <c r="B74" s="131">
        <f>SUBTOTAL(9,$A$16:A74)</f>
        <v>56</v>
      </c>
      <c r="C74" s="10" t="s">
        <v>409</v>
      </c>
      <c r="D74" s="146"/>
      <c r="E74" s="11">
        <v>1990</v>
      </c>
      <c r="F74" s="11" t="s">
        <v>420</v>
      </c>
      <c r="G74" s="11">
        <v>2</v>
      </c>
      <c r="H74" s="11" t="s">
        <v>320</v>
      </c>
      <c r="I74" s="136">
        <v>610.4</v>
      </c>
      <c r="J74" s="136">
        <v>548.6</v>
      </c>
      <c r="K74" s="137">
        <v>22</v>
      </c>
      <c r="L74" s="11" t="s">
        <v>418</v>
      </c>
      <c r="M74" s="11" t="s">
        <v>425</v>
      </c>
      <c r="N74" s="138" t="s">
        <v>426</v>
      </c>
      <c r="O74" s="139">
        <v>7108925.5999999996</v>
      </c>
      <c r="P74" s="139">
        <v>0</v>
      </c>
      <c r="Q74" s="139">
        <v>0</v>
      </c>
      <c r="R74" s="139">
        <v>0</v>
      </c>
      <c r="S74" s="139">
        <f t="shared" si="14"/>
        <v>7108925.5999999996</v>
      </c>
      <c r="T74" s="139">
        <f t="shared" si="11"/>
        <v>11646.339449541285</v>
      </c>
      <c r="U74" s="139">
        <v>11865.46</v>
      </c>
      <c r="V74" s="140"/>
      <c r="CR74" s="141"/>
    </row>
    <row r="75" spans="1:96" ht="35.25" x14ac:dyDescent="0.5">
      <c r="B75" s="122" t="s">
        <v>416</v>
      </c>
      <c r="C75" s="130"/>
      <c r="D75" s="123" t="s">
        <v>423</v>
      </c>
      <c r="E75" s="123" t="s">
        <v>423</v>
      </c>
      <c r="F75" s="123" t="s">
        <v>423</v>
      </c>
      <c r="G75" s="123" t="s">
        <v>423</v>
      </c>
      <c r="H75" s="123" t="s">
        <v>423</v>
      </c>
      <c r="I75" s="124">
        <f>I76</f>
        <v>6726.7</v>
      </c>
      <c r="J75" s="124">
        <f t="shared" ref="J75:K75" si="19">J76</f>
        <v>3903</v>
      </c>
      <c r="K75" s="125">
        <f t="shared" si="19"/>
        <v>181</v>
      </c>
      <c r="L75" s="123" t="s">
        <v>423</v>
      </c>
      <c r="M75" s="123" t="s">
        <v>423</v>
      </c>
      <c r="N75" s="126" t="s">
        <v>423</v>
      </c>
      <c r="O75" s="128">
        <v>15284190.040000001</v>
      </c>
      <c r="P75" s="128">
        <f t="shared" ref="P75:S75" si="20">P76</f>
        <v>0</v>
      </c>
      <c r="Q75" s="128">
        <f t="shared" si="20"/>
        <v>0</v>
      </c>
      <c r="R75" s="128">
        <f t="shared" si="20"/>
        <v>0</v>
      </c>
      <c r="S75" s="128">
        <f t="shared" si="20"/>
        <v>15284190.040000001</v>
      </c>
      <c r="T75" s="128">
        <f t="shared" si="11"/>
        <v>2272.1676364339128</v>
      </c>
      <c r="U75" s="128">
        <v>2314.917180787013</v>
      </c>
      <c r="V75" s="129"/>
      <c r="CR75" s="1"/>
    </row>
    <row r="76" spans="1:96" ht="35.25" x14ac:dyDescent="0.5">
      <c r="A76">
        <v>1</v>
      </c>
      <c r="B76" s="131">
        <f>SUBTOTAL(9,$A$16:A76)</f>
        <v>57</v>
      </c>
      <c r="C76" s="10" t="s">
        <v>154</v>
      </c>
      <c r="D76" s="123"/>
      <c r="E76" s="123">
        <v>1991</v>
      </c>
      <c r="F76" s="123" t="s">
        <v>421</v>
      </c>
      <c r="G76" s="123">
        <v>5</v>
      </c>
      <c r="H76" s="123" t="s">
        <v>335</v>
      </c>
      <c r="I76" s="124">
        <v>6726.7</v>
      </c>
      <c r="J76" s="124">
        <v>3903</v>
      </c>
      <c r="K76" s="125">
        <v>181</v>
      </c>
      <c r="L76" s="123" t="s">
        <v>418</v>
      </c>
      <c r="M76" s="123" t="s">
        <v>424</v>
      </c>
      <c r="N76" s="126" t="s">
        <v>437</v>
      </c>
      <c r="O76" s="128">
        <v>15284190.040000001</v>
      </c>
      <c r="P76" s="128">
        <v>0</v>
      </c>
      <c r="Q76" s="128">
        <v>0</v>
      </c>
      <c r="R76" s="128">
        <v>0</v>
      </c>
      <c r="S76" s="128">
        <f>O76-P76-Q76-R76</f>
        <v>15284190.040000001</v>
      </c>
      <c r="T76" s="128">
        <f t="shared" si="11"/>
        <v>2272.1676364339128</v>
      </c>
      <c r="U76" s="128">
        <v>2314.92</v>
      </c>
      <c r="V76" s="129"/>
      <c r="CR76" s="1"/>
    </row>
    <row r="77" spans="1:96" ht="35.25" x14ac:dyDescent="0.5">
      <c r="B77" s="122" t="s">
        <v>678</v>
      </c>
      <c r="C77" s="145"/>
      <c r="D77" s="123" t="s">
        <v>423</v>
      </c>
      <c r="E77" s="123" t="s">
        <v>423</v>
      </c>
      <c r="F77" s="123" t="s">
        <v>423</v>
      </c>
      <c r="G77" s="123" t="s">
        <v>423</v>
      </c>
      <c r="H77" s="123" t="s">
        <v>423</v>
      </c>
      <c r="I77" s="124">
        <f>SUM(I78:I91)</f>
        <v>47954.69</v>
      </c>
      <c r="J77" s="124">
        <f t="shared" ref="J77:K77" si="21">SUM(J78:J91)</f>
        <v>35635.640000000007</v>
      </c>
      <c r="K77" s="125">
        <f t="shared" si="21"/>
        <v>1706</v>
      </c>
      <c r="L77" s="123" t="s">
        <v>423</v>
      </c>
      <c r="M77" s="123" t="s">
        <v>423</v>
      </c>
      <c r="N77" s="126" t="s">
        <v>423</v>
      </c>
      <c r="O77" s="128">
        <f>SUM(O78:O91)</f>
        <v>179194506.43000004</v>
      </c>
      <c r="P77" s="128">
        <f t="shared" ref="P77:S77" si="22">SUM(P78:P91)</f>
        <v>0</v>
      </c>
      <c r="Q77" s="128">
        <f t="shared" si="22"/>
        <v>0</v>
      </c>
      <c r="R77" s="128">
        <f t="shared" si="22"/>
        <v>0</v>
      </c>
      <c r="S77" s="128">
        <f t="shared" si="22"/>
        <v>179194506.43000004</v>
      </c>
      <c r="T77" s="128">
        <f t="shared" si="11"/>
        <v>3736.7462166891296</v>
      </c>
      <c r="U77" s="128">
        <f>MAX(U78:U91)</f>
        <v>13685.11</v>
      </c>
      <c r="V77" s="129"/>
      <c r="CR77" s="1"/>
    </row>
    <row r="78" spans="1:96" ht="35.25" x14ac:dyDescent="0.5">
      <c r="A78">
        <v>1</v>
      </c>
      <c r="B78" s="131">
        <f>SUBTOTAL(9,$A$16:A78)</f>
        <v>58</v>
      </c>
      <c r="C78" s="10" t="s">
        <v>323</v>
      </c>
      <c r="D78" s="27"/>
      <c r="E78" s="123">
        <v>1982</v>
      </c>
      <c r="F78" s="123" t="s">
        <v>420</v>
      </c>
      <c r="G78" s="123">
        <v>9</v>
      </c>
      <c r="H78" s="123" t="s">
        <v>320</v>
      </c>
      <c r="I78" s="124">
        <v>7241.3</v>
      </c>
      <c r="J78" s="124">
        <v>5410.4</v>
      </c>
      <c r="K78" s="125">
        <v>216</v>
      </c>
      <c r="L78" s="123" t="s">
        <v>418</v>
      </c>
      <c r="M78" s="123" t="s">
        <v>424</v>
      </c>
      <c r="N78" s="126" t="s">
        <v>492</v>
      </c>
      <c r="O78" s="128">
        <v>10346680</v>
      </c>
      <c r="P78" s="128">
        <v>0</v>
      </c>
      <c r="Q78" s="128">
        <v>0</v>
      </c>
      <c r="R78" s="128">
        <v>0</v>
      </c>
      <c r="S78" s="128">
        <f t="shared" ref="S78:S84" si="23">O78-P78-Q78-R78</f>
        <v>10346680</v>
      </c>
      <c r="T78" s="128">
        <f t="shared" si="11"/>
        <v>1428.8428873268613</v>
      </c>
      <c r="U78" s="128">
        <v>1428.84</v>
      </c>
      <c r="V78" s="129"/>
      <c r="CR78" s="1"/>
    </row>
    <row r="79" spans="1:96" ht="35.25" x14ac:dyDescent="0.5">
      <c r="A79">
        <v>1</v>
      </c>
      <c r="B79" s="131">
        <f>SUBTOTAL(9,$A$16:A79)</f>
        <v>59</v>
      </c>
      <c r="C79" s="10" t="s">
        <v>348</v>
      </c>
      <c r="D79" s="27"/>
      <c r="E79" s="123">
        <v>1994</v>
      </c>
      <c r="F79" s="123" t="s">
        <v>421</v>
      </c>
      <c r="G79" s="123">
        <v>5</v>
      </c>
      <c r="H79" s="123" t="s">
        <v>327</v>
      </c>
      <c r="I79" s="124">
        <v>4752.7</v>
      </c>
      <c r="J79" s="124">
        <v>3543.2</v>
      </c>
      <c r="K79" s="125">
        <v>166</v>
      </c>
      <c r="L79" s="123" t="s">
        <v>418</v>
      </c>
      <c r="M79" s="123" t="s">
        <v>424</v>
      </c>
      <c r="N79" s="126" t="s">
        <v>493</v>
      </c>
      <c r="O79" s="128">
        <v>14545369.560000001</v>
      </c>
      <c r="P79" s="128">
        <v>0</v>
      </c>
      <c r="Q79" s="128">
        <v>0</v>
      </c>
      <c r="R79" s="128">
        <v>0</v>
      </c>
      <c r="S79" s="128">
        <f t="shared" si="23"/>
        <v>14545369.560000001</v>
      </c>
      <c r="T79" s="128">
        <f t="shared" si="11"/>
        <v>3060.4434447787576</v>
      </c>
      <c r="U79" s="128">
        <v>3118.02</v>
      </c>
      <c r="V79" s="129"/>
      <c r="CR79" s="1"/>
    </row>
    <row r="80" spans="1:96" ht="35.25" x14ac:dyDescent="0.5">
      <c r="A80">
        <v>1</v>
      </c>
      <c r="B80" s="131">
        <f>SUBTOTAL(9,$A$16:A80)</f>
        <v>60</v>
      </c>
      <c r="C80" s="10" t="s">
        <v>347</v>
      </c>
      <c r="D80" s="27"/>
      <c r="E80" s="123">
        <v>1987</v>
      </c>
      <c r="F80" s="123" t="s">
        <v>421</v>
      </c>
      <c r="G80" s="123">
        <v>5</v>
      </c>
      <c r="H80" s="123" t="s">
        <v>322</v>
      </c>
      <c r="I80" s="124">
        <v>3190.1</v>
      </c>
      <c r="J80" s="124">
        <v>2832.5</v>
      </c>
      <c r="K80" s="125">
        <v>125</v>
      </c>
      <c r="L80" s="123" t="s">
        <v>418</v>
      </c>
      <c r="M80" s="123" t="s">
        <v>424</v>
      </c>
      <c r="N80" s="126" t="s">
        <v>494</v>
      </c>
      <c r="O80" s="128">
        <v>15753886.91</v>
      </c>
      <c r="P80" s="128">
        <v>0</v>
      </c>
      <c r="Q80" s="128">
        <v>0</v>
      </c>
      <c r="R80" s="128">
        <v>0</v>
      </c>
      <c r="S80" s="128">
        <f t="shared" si="23"/>
        <v>15753886.91</v>
      </c>
      <c r="T80" s="128">
        <f t="shared" si="11"/>
        <v>4938.3677345537762</v>
      </c>
      <c r="U80" s="128">
        <v>5031.28</v>
      </c>
      <c r="V80" s="129"/>
      <c r="CR80" s="1"/>
    </row>
    <row r="81" spans="1:96" ht="35.25" x14ac:dyDescent="0.5">
      <c r="A81">
        <v>1</v>
      </c>
      <c r="B81" s="131">
        <f>SUBTOTAL(9,$A$16:A81)</f>
        <v>61</v>
      </c>
      <c r="C81" s="10" t="s">
        <v>325</v>
      </c>
      <c r="D81" s="27"/>
      <c r="E81" s="123">
        <v>1974</v>
      </c>
      <c r="F81" s="123" t="s">
        <v>421</v>
      </c>
      <c r="G81" s="123">
        <v>5</v>
      </c>
      <c r="H81" s="123" t="s">
        <v>322</v>
      </c>
      <c r="I81" s="124">
        <v>3593.6</v>
      </c>
      <c r="J81" s="124">
        <v>2651.3</v>
      </c>
      <c r="K81" s="125">
        <v>115</v>
      </c>
      <c r="L81" s="123" t="s">
        <v>418</v>
      </c>
      <c r="M81" s="123" t="s">
        <v>424</v>
      </c>
      <c r="N81" s="126" t="s">
        <v>492</v>
      </c>
      <c r="O81" s="128">
        <v>10864014</v>
      </c>
      <c r="P81" s="128">
        <v>0</v>
      </c>
      <c r="Q81" s="128">
        <v>0</v>
      </c>
      <c r="R81" s="128">
        <v>0</v>
      </c>
      <c r="S81" s="128">
        <f t="shared" si="23"/>
        <v>10864014</v>
      </c>
      <c r="T81" s="128">
        <f t="shared" si="11"/>
        <v>3023.1561665182548</v>
      </c>
      <c r="U81" s="128">
        <v>3023.16</v>
      </c>
      <c r="V81" s="129"/>
      <c r="CR81" s="1"/>
    </row>
    <row r="82" spans="1:96" ht="35.25" x14ac:dyDescent="0.5">
      <c r="A82">
        <v>1</v>
      </c>
      <c r="B82" s="131">
        <f>SUBTOTAL(9,$A$16:A82)</f>
        <v>62</v>
      </c>
      <c r="C82" s="10" t="s">
        <v>343</v>
      </c>
      <c r="D82" s="27"/>
      <c r="E82" s="123">
        <v>1971</v>
      </c>
      <c r="F82" s="123" t="s">
        <v>420</v>
      </c>
      <c r="G82" s="123">
        <v>5</v>
      </c>
      <c r="H82" s="123" t="s">
        <v>322</v>
      </c>
      <c r="I82" s="124">
        <v>3181.17</v>
      </c>
      <c r="J82" s="124">
        <v>2877.67</v>
      </c>
      <c r="K82" s="125">
        <v>208</v>
      </c>
      <c r="L82" s="123" t="s">
        <v>418</v>
      </c>
      <c r="M82" s="123" t="s">
        <v>424</v>
      </c>
      <c r="N82" s="126" t="s">
        <v>495</v>
      </c>
      <c r="O82" s="128">
        <v>15905327.5</v>
      </c>
      <c r="P82" s="128">
        <v>0</v>
      </c>
      <c r="Q82" s="128">
        <v>0</v>
      </c>
      <c r="R82" s="128">
        <v>0</v>
      </c>
      <c r="S82" s="128">
        <f t="shared" si="23"/>
        <v>15905327.5</v>
      </c>
      <c r="T82" s="128">
        <f t="shared" si="11"/>
        <v>4999.8357522546739</v>
      </c>
      <c r="U82" s="128">
        <v>4472.1499999999996</v>
      </c>
      <c r="V82" s="129"/>
      <c r="CR82" s="1"/>
    </row>
    <row r="83" spans="1:96" ht="35.25" x14ac:dyDescent="0.5">
      <c r="A83">
        <v>1</v>
      </c>
      <c r="B83" s="131">
        <f>SUBTOTAL(9,$A$16:A83)</f>
        <v>63</v>
      </c>
      <c r="C83" s="10" t="s">
        <v>341</v>
      </c>
      <c r="D83" s="27"/>
      <c r="E83" s="123">
        <v>1973</v>
      </c>
      <c r="F83" s="123" t="s">
        <v>420</v>
      </c>
      <c r="G83" s="123">
        <v>5</v>
      </c>
      <c r="H83" s="123" t="s">
        <v>321</v>
      </c>
      <c r="I83" s="124">
        <v>5940.9</v>
      </c>
      <c r="J83" s="124">
        <v>4045</v>
      </c>
      <c r="K83" s="125">
        <v>310</v>
      </c>
      <c r="L83" s="123" t="s">
        <v>418</v>
      </c>
      <c r="M83" s="123" t="s">
        <v>424</v>
      </c>
      <c r="N83" s="126" t="s">
        <v>495</v>
      </c>
      <c r="O83" s="128">
        <v>26223660.460000001</v>
      </c>
      <c r="P83" s="128">
        <v>0</v>
      </c>
      <c r="Q83" s="128">
        <v>0</v>
      </c>
      <c r="R83" s="128">
        <v>0</v>
      </c>
      <c r="S83" s="128">
        <f t="shared" si="23"/>
        <v>26223660.460000001</v>
      </c>
      <c r="T83" s="128">
        <f t="shared" si="11"/>
        <v>4414.0888518574629</v>
      </c>
      <c r="U83" s="128">
        <v>4414.09</v>
      </c>
      <c r="V83" s="129"/>
      <c r="CR83" s="1"/>
    </row>
    <row r="84" spans="1:96" ht="35.25" x14ac:dyDescent="0.5">
      <c r="A84">
        <v>1</v>
      </c>
      <c r="B84" s="131">
        <f>SUBTOTAL(9,$A$16:A84)</f>
        <v>64</v>
      </c>
      <c r="C84" s="10" t="s">
        <v>594</v>
      </c>
      <c r="D84" s="27"/>
      <c r="E84" s="123">
        <v>1976</v>
      </c>
      <c r="F84" s="123" t="s">
        <v>420</v>
      </c>
      <c r="G84" s="123">
        <v>3</v>
      </c>
      <c r="H84" s="123" t="s">
        <v>320</v>
      </c>
      <c r="I84" s="124">
        <v>1655.19</v>
      </c>
      <c r="J84" s="124">
        <v>1064.29</v>
      </c>
      <c r="K84" s="125">
        <v>30</v>
      </c>
      <c r="L84" s="123" t="s">
        <v>418</v>
      </c>
      <c r="M84" s="123" t="s">
        <v>424</v>
      </c>
      <c r="N84" s="126" t="s">
        <v>595</v>
      </c>
      <c r="O84" s="128">
        <v>7832191.2000000002</v>
      </c>
      <c r="P84" s="128">
        <v>0</v>
      </c>
      <c r="Q84" s="128">
        <v>0</v>
      </c>
      <c r="R84" s="128">
        <v>0</v>
      </c>
      <c r="S84" s="128">
        <f t="shared" si="23"/>
        <v>7832191.2000000002</v>
      </c>
      <c r="T84" s="128">
        <f t="shared" si="11"/>
        <v>4731.898573577656</v>
      </c>
      <c r="U84" s="128">
        <v>6610.54</v>
      </c>
      <c r="V84" s="129"/>
      <c r="CR84" s="1"/>
    </row>
    <row r="85" spans="1:96" ht="35.25" x14ac:dyDescent="0.5">
      <c r="A85">
        <v>1</v>
      </c>
      <c r="B85" s="131">
        <f>SUBTOTAL(9,$A$16:A85)</f>
        <v>65</v>
      </c>
      <c r="C85" s="10" t="s">
        <v>349</v>
      </c>
      <c r="D85" s="27"/>
      <c r="E85" s="123">
        <v>1974</v>
      </c>
      <c r="F85" s="123" t="s">
        <v>420</v>
      </c>
      <c r="G85" s="123">
        <v>5</v>
      </c>
      <c r="H85" s="123" t="s">
        <v>324</v>
      </c>
      <c r="I85" s="124">
        <v>7592.1</v>
      </c>
      <c r="J85" s="124">
        <v>4512.7</v>
      </c>
      <c r="K85" s="125">
        <v>203</v>
      </c>
      <c r="L85" s="123" t="s">
        <v>418</v>
      </c>
      <c r="M85" s="123" t="s">
        <v>424</v>
      </c>
      <c r="N85" s="126" t="s">
        <v>496</v>
      </c>
      <c r="O85" s="128">
        <v>18432428.520000003</v>
      </c>
      <c r="P85" s="128">
        <v>0</v>
      </c>
      <c r="Q85" s="128">
        <v>0</v>
      </c>
      <c r="R85" s="128">
        <v>0</v>
      </c>
      <c r="S85" s="128">
        <f>O85-P85-Q85-R85</f>
        <v>18432428.520000003</v>
      </c>
      <c r="T85" s="128">
        <f t="shared" si="11"/>
        <v>2427.8432212431348</v>
      </c>
      <c r="U85" s="128">
        <v>2473.52</v>
      </c>
      <c r="V85" s="129"/>
      <c r="CR85" s="1"/>
    </row>
    <row r="86" spans="1:96" ht="35.25" x14ac:dyDescent="0.5">
      <c r="A86">
        <v>1</v>
      </c>
      <c r="B86" s="131">
        <f>SUBTOTAL(9,$A$16:A86)</f>
        <v>66</v>
      </c>
      <c r="C86" s="10" t="s">
        <v>354</v>
      </c>
      <c r="D86" s="27"/>
      <c r="E86" s="123">
        <v>1974</v>
      </c>
      <c r="F86" s="123" t="s">
        <v>420</v>
      </c>
      <c r="G86" s="123">
        <v>2</v>
      </c>
      <c r="H86" s="123" t="s">
        <v>320</v>
      </c>
      <c r="I86" s="124">
        <v>844</v>
      </c>
      <c r="J86" s="124">
        <v>792.3</v>
      </c>
      <c r="K86" s="125">
        <v>42</v>
      </c>
      <c r="L86" s="123" t="s">
        <v>418</v>
      </c>
      <c r="M86" s="123" t="s">
        <v>424</v>
      </c>
      <c r="N86" s="126" t="s">
        <v>438</v>
      </c>
      <c r="O86" s="128">
        <v>8873462.4900000002</v>
      </c>
      <c r="P86" s="128">
        <v>0</v>
      </c>
      <c r="Q86" s="128">
        <v>0</v>
      </c>
      <c r="R86" s="128">
        <v>0</v>
      </c>
      <c r="S86" s="128">
        <f>O86-P86-Q86-R86</f>
        <v>8873462.4900000002</v>
      </c>
      <c r="T86" s="128">
        <f t="shared" si="11"/>
        <v>10513.581149289099</v>
      </c>
      <c r="U86" s="128">
        <v>10711.39</v>
      </c>
      <c r="V86" s="129"/>
      <c r="CR86" s="1"/>
    </row>
    <row r="87" spans="1:96" ht="35.25" x14ac:dyDescent="0.5">
      <c r="A87">
        <v>1</v>
      </c>
      <c r="B87" s="131">
        <f>SUBTOTAL(9,$A$16:A87)</f>
        <v>67</v>
      </c>
      <c r="C87" s="132" t="s">
        <v>605</v>
      </c>
      <c r="D87" s="133"/>
      <c r="E87" s="123">
        <v>1953</v>
      </c>
      <c r="F87" s="123" t="s">
        <v>420</v>
      </c>
      <c r="G87" s="123">
        <v>2</v>
      </c>
      <c r="H87" s="123">
        <v>2</v>
      </c>
      <c r="I87" s="124">
        <v>911</v>
      </c>
      <c r="J87" s="124">
        <v>909.4</v>
      </c>
      <c r="K87" s="125">
        <v>31</v>
      </c>
      <c r="L87" s="123" t="s">
        <v>418</v>
      </c>
      <c r="M87" s="123" t="s">
        <v>425</v>
      </c>
      <c r="N87" s="126" t="s">
        <v>426</v>
      </c>
      <c r="O87" s="134">
        <v>11681001.229999999</v>
      </c>
      <c r="P87" s="134">
        <v>0</v>
      </c>
      <c r="Q87" s="134">
        <v>0</v>
      </c>
      <c r="R87" s="134">
        <v>0</v>
      </c>
      <c r="S87" s="134">
        <f t="shared" ref="S87" si="24">O87-Q87-R87</f>
        <v>11681001.229999999</v>
      </c>
      <c r="T87" s="135">
        <f t="shared" si="11"/>
        <v>12822.174785949504</v>
      </c>
      <c r="U87" s="134">
        <v>13685.11</v>
      </c>
      <c r="V87" s="76"/>
      <c r="W87" s="76"/>
      <c r="X87" s="76"/>
      <c r="Y87" s="76"/>
      <c r="Z87" s="76"/>
      <c r="AA87" s="142"/>
      <c r="AB87" s="1">
        <f t="shared" ref="AB87" si="25">O87-P87-Q87-R87-S87</f>
        <v>0</v>
      </c>
      <c r="AD87" s="81"/>
      <c r="BU87" s="1">
        <f t="shared" ref="BU87" si="26">U87-T87</f>
        <v>862.93521405049614</v>
      </c>
      <c r="CN87" s="1"/>
      <c r="CR87" s="1"/>
    </row>
    <row r="88" spans="1:96" ht="35.25" x14ac:dyDescent="0.5">
      <c r="A88">
        <v>1</v>
      </c>
      <c r="B88" s="131">
        <f>SUBTOTAL(9,$A$16:A88)</f>
        <v>68</v>
      </c>
      <c r="C88" s="10" t="s">
        <v>363</v>
      </c>
      <c r="D88" s="27"/>
      <c r="E88" s="123">
        <v>1974</v>
      </c>
      <c r="F88" s="123" t="s">
        <v>420</v>
      </c>
      <c r="G88" s="123">
        <v>5</v>
      </c>
      <c r="H88" s="123" t="s">
        <v>322</v>
      </c>
      <c r="I88" s="124">
        <v>3767.2</v>
      </c>
      <c r="J88" s="124">
        <v>2841.2</v>
      </c>
      <c r="K88" s="125">
        <v>115</v>
      </c>
      <c r="L88" s="123" t="s">
        <v>418</v>
      </c>
      <c r="M88" s="123" t="s">
        <v>424</v>
      </c>
      <c r="N88" s="126" t="s">
        <v>497</v>
      </c>
      <c r="O88" s="128">
        <v>10424280.1</v>
      </c>
      <c r="P88" s="128">
        <v>0</v>
      </c>
      <c r="Q88" s="128">
        <v>0</v>
      </c>
      <c r="R88" s="128">
        <v>0</v>
      </c>
      <c r="S88" s="128">
        <f>O88-P88-Q88-R88</f>
        <v>10424280.1</v>
      </c>
      <c r="T88" s="128">
        <f t="shared" si="11"/>
        <v>2767.1161870885539</v>
      </c>
      <c r="U88" s="128">
        <v>2767.12</v>
      </c>
      <c r="V88" s="129"/>
      <c r="CR88" s="1"/>
    </row>
    <row r="89" spans="1:96" ht="35.25" x14ac:dyDescent="0.5">
      <c r="A89">
        <v>1</v>
      </c>
      <c r="B89" s="131">
        <f>SUBTOTAL(9,$A$16:A89)</f>
        <v>69</v>
      </c>
      <c r="C89" s="10" t="s">
        <v>365</v>
      </c>
      <c r="D89" s="27"/>
      <c r="E89" s="123">
        <v>1966</v>
      </c>
      <c r="F89" s="123" t="s">
        <v>420</v>
      </c>
      <c r="G89" s="123">
        <v>4</v>
      </c>
      <c r="H89" s="123" t="s">
        <v>320</v>
      </c>
      <c r="I89" s="124">
        <v>1738</v>
      </c>
      <c r="J89" s="124">
        <v>1286.7</v>
      </c>
      <c r="K89" s="125">
        <v>63</v>
      </c>
      <c r="L89" s="123" t="s">
        <v>418</v>
      </c>
      <c r="M89" s="123" t="s">
        <v>424</v>
      </c>
      <c r="N89" s="126" t="s">
        <v>498</v>
      </c>
      <c r="O89" s="128">
        <v>10260484.299999999</v>
      </c>
      <c r="P89" s="128">
        <v>0</v>
      </c>
      <c r="Q89" s="128">
        <v>0</v>
      </c>
      <c r="R89" s="128">
        <v>0</v>
      </c>
      <c r="S89" s="128">
        <f>O89-P89-Q89-R89</f>
        <v>10260484.299999999</v>
      </c>
      <c r="T89" s="128">
        <f t="shared" si="11"/>
        <v>5903.6158227848091</v>
      </c>
      <c r="U89" s="128">
        <v>5903.62</v>
      </c>
      <c r="V89" s="129"/>
      <c r="CR89" s="1"/>
    </row>
    <row r="90" spans="1:96" ht="35.25" x14ac:dyDescent="0.5">
      <c r="A90">
        <v>1</v>
      </c>
      <c r="B90" s="131">
        <f>SUBTOTAL(9,$A$16:A90)</f>
        <v>70</v>
      </c>
      <c r="C90" s="10" t="s">
        <v>364</v>
      </c>
      <c r="D90" s="27"/>
      <c r="E90" s="123">
        <v>1963</v>
      </c>
      <c r="F90" s="123" t="s">
        <v>420</v>
      </c>
      <c r="G90" s="123">
        <v>4</v>
      </c>
      <c r="H90" s="123" t="s">
        <v>327</v>
      </c>
      <c r="I90" s="124">
        <v>2715.63</v>
      </c>
      <c r="J90" s="124">
        <v>2040.6799999999998</v>
      </c>
      <c r="K90" s="125">
        <v>61</v>
      </c>
      <c r="L90" s="123" t="s">
        <v>418</v>
      </c>
      <c r="M90" s="123" t="s">
        <v>424</v>
      </c>
      <c r="N90" s="126" t="s">
        <v>499</v>
      </c>
      <c r="O90" s="128">
        <v>12290824.58</v>
      </c>
      <c r="P90" s="128">
        <v>0</v>
      </c>
      <c r="Q90" s="128">
        <v>0</v>
      </c>
      <c r="R90" s="128">
        <v>0</v>
      </c>
      <c r="S90" s="128">
        <f>O90-P90-Q90-R90</f>
        <v>12290824.58</v>
      </c>
      <c r="T90" s="128">
        <f t="shared" si="11"/>
        <v>4525.9569897224583</v>
      </c>
      <c r="U90" s="128">
        <v>4611.1099999999997</v>
      </c>
      <c r="V90" s="129"/>
      <c r="CR90" s="1"/>
    </row>
    <row r="91" spans="1:96" ht="35.25" x14ac:dyDescent="0.5">
      <c r="A91">
        <v>1</v>
      </c>
      <c r="B91" s="131">
        <f>SUBTOTAL(9,$A$16:A91)</f>
        <v>71</v>
      </c>
      <c r="C91" s="10" t="s">
        <v>353</v>
      </c>
      <c r="D91" s="27"/>
      <c r="E91" s="123">
        <v>1974</v>
      </c>
      <c r="F91" s="123" t="s">
        <v>420</v>
      </c>
      <c r="G91" s="123">
        <v>2</v>
      </c>
      <c r="H91" s="123" t="s">
        <v>320</v>
      </c>
      <c r="I91" s="124">
        <v>831.8</v>
      </c>
      <c r="J91" s="124">
        <v>828.3</v>
      </c>
      <c r="K91" s="125">
        <v>21</v>
      </c>
      <c r="L91" s="123" t="s">
        <v>418</v>
      </c>
      <c r="M91" s="123" t="s">
        <v>425</v>
      </c>
      <c r="N91" s="126" t="s">
        <v>426</v>
      </c>
      <c r="O91" s="128">
        <v>5760895.5800000001</v>
      </c>
      <c r="P91" s="128">
        <v>0</v>
      </c>
      <c r="Q91" s="128">
        <v>0</v>
      </c>
      <c r="R91" s="128">
        <v>0</v>
      </c>
      <c r="S91" s="128">
        <f>O91-P91-Q91-R91</f>
        <v>5760895.5800000001</v>
      </c>
      <c r="T91" s="128">
        <f t="shared" si="11"/>
        <v>6925.8182014907434</v>
      </c>
      <c r="U91" s="128">
        <v>10576.21</v>
      </c>
      <c r="V91" s="129"/>
      <c r="CR91" s="1"/>
    </row>
    <row r="92" spans="1:96" ht="35.25" x14ac:dyDescent="0.5">
      <c r="B92" s="145" t="s">
        <v>503</v>
      </c>
      <c r="C92" s="145"/>
      <c r="D92" s="123" t="s">
        <v>423</v>
      </c>
      <c r="E92" s="123" t="s">
        <v>423</v>
      </c>
      <c r="F92" s="123" t="s">
        <v>423</v>
      </c>
      <c r="G92" s="123" t="s">
        <v>423</v>
      </c>
      <c r="H92" s="123" t="s">
        <v>423</v>
      </c>
      <c r="I92" s="124">
        <f>I93+I94+I95</f>
        <v>5299.9</v>
      </c>
      <c r="J92" s="124">
        <f t="shared" ref="J92:K92" si="27">J93+J94+J95</f>
        <v>4069.2</v>
      </c>
      <c r="K92" s="125">
        <f t="shared" si="27"/>
        <v>205</v>
      </c>
      <c r="L92" s="123" t="s">
        <v>423</v>
      </c>
      <c r="M92" s="123" t="s">
        <v>423</v>
      </c>
      <c r="N92" s="126" t="s">
        <v>423</v>
      </c>
      <c r="O92" s="128">
        <v>30481980.5</v>
      </c>
      <c r="P92" s="128">
        <f t="shared" ref="P92:S92" si="28">SUM(P93:P95)</f>
        <v>0</v>
      </c>
      <c r="Q92" s="128">
        <f t="shared" si="28"/>
        <v>0</v>
      </c>
      <c r="R92" s="128">
        <f t="shared" si="28"/>
        <v>0</v>
      </c>
      <c r="S92" s="128">
        <f t="shared" si="28"/>
        <v>30481980.5</v>
      </c>
      <c r="T92" s="128">
        <f t="shared" ref="T92:T111" si="29">O92/I92</f>
        <v>5751.4255929357159</v>
      </c>
      <c r="U92" s="128">
        <f>MAX(U93:U95)</f>
        <v>14248.939795918368</v>
      </c>
      <c r="V92" s="129"/>
      <c r="CR92" s="1"/>
    </row>
    <row r="93" spans="1:96" ht="35.25" x14ac:dyDescent="0.5">
      <c r="A93">
        <v>1</v>
      </c>
      <c r="B93" s="131">
        <f>SUBTOTAL(9,$A$16:A93)</f>
        <v>72</v>
      </c>
      <c r="C93" s="10" t="s">
        <v>598</v>
      </c>
      <c r="D93" s="27"/>
      <c r="E93" s="123">
        <v>1986</v>
      </c>
      <c r="F93" s="123" t="s">
        <v>420</v>
      </c>
      <c r="G93" s="123">
        <v>5</v>
      </c>
      <c r="H93" s="123">
        <v>4</v>
      </c>
      <c r="I93" s="124">
        <v>3071.2</v>
      </c>
      <c r="J93" s="124">
        <v>2776.7</v>
      </c>
      <c r="K93" s="125">
        <v>156</v>
      </c>
      <c r="L93" s="123" t="s">
        <v>418</v>
      </c>
      <c r="M93" s="123" t="s">
        <v>424</v>
      </c>
      <c r="N93" s="126" t="s">
        <v>511</v>
      </c>
      <c r="O93" s="128">
        <v>10500000</v>
      </c>
      <c r="P93" s="128">
        <v>0</v>
      </c>
      <c r="Q93" s="128">
        <v>0</v>
      </c>
      <c r="R93" s="128">
        <v>0</v>
      </c>
      <c r="S93" s="128">
        <f>O93-P93-Q93-R93</f>
        <v>10500000</v>
      </c>
      <c r="T93" s="128">
        <f t="shared" si="29"/>
        <v>3418.8590778848661</v>
      </c>
      <c r="U93" s="128">
        <v>3492.73</v>
      </c>
      <c r="V93" s="129"/>
      <c r="CR93" s="1"/>
    </row>
    <row r="94" spans="1:96" ht="35.25" x14ac:dyDescent="0.5">
      <c r="A94">
        <v>1</v>
      </c>
      <c r="B94" s="131">
        <f>SUBTOTAL(9,$A$16:A94)</f>
        <v>73</v>
      </c>
      <c r="C94" s="10" t="s">
        <v>381</v>
      </c>
      <c r="D94" s="27"/>
      <c r="E94" s="123">
        <v>1980</v>
      </c>
      <c r="F94" s="123" t="s">
        <v>420</v>
      </c>
      <c r="G94" s="123">
        <v>2</v>
      </c>
      <c r="H94" s="123" t="s">
        <v>327</v>
      </c>
      <c r="I94" s="124">
        <v>1738.7</v>
      </c>
      <c r="J94" s="124">
        <v>993.2</v>
      </c>
      <c r="K94" s="125">
        <v>18</v>
      </c>
      <c r="L94" s="123" t="s">
        <v>418</v>
      </c>
      <c r="M94" s="123" t="s">
        <v>424</v>
      </c>
      <c r="N94" s="126" t="s">
        <v>512</v>
      </c>
      <c r="O94" s="128">
        <v>13000000</v>
      </c>
      <c r="P94" s="128">
        <v>0</v>
      </c>
      <c r="Q94" s="128">
        <v>0</v>
      </c>
      <c r="R94" s="128">
        <v>0</v>
      </c>
      <c r="S94" s="128">
        <f>O94-P94-Q94-R94</f>
        <v>13000000</v>
      </c>
      <c r="T94" s="128">
        <f t="shared" si="29"/>
        <v>7476.8505205038246</v>
      </c>
      <c r="U94" s="128">
        <v>14009.73</v>
      </c>
      <c r="V94" s="129"/>
      <c r="CR94" s="1"/>
    </row>
    <row r="95" spans="1:96" ht="35.25" x14ac:dyDescent="0.5">
      <c r="A95">
        <v>1</v>
      </c>
      <c r="B95" s="131">
        <f>SUBTOTAL(9,$A$16:A95)</f>
        <v>74</v>
      </c>
      <c r="C95" s="10" t="s">
        <v>599</v>
      </c>
      <c r="D95" s="27"/>
      <c r="E95" s="123">
        <v>1962</v>
      </c>
      <c r="F95" s="123" t="s">
        <v>420</v>
      </c>
      <c r="G95" s="123">
        <v>2</v>
      </c>
      <c r="H95" s="123">
        <v>2</v>
      </c>
      <c r="I95" s="124">
        <v>490</v>
      </c>
      <c r="J95" s="124">
        <v>299.3</v>
      </c>
      <c r="K95" s="125">
        <v>31</v>
      </c>
      <c r="L95" s="123" t="s">
        <v>418</v>
      </c>
      <c r="M95" s="123" t="s">
        <v>425</v>
      </c>
      <c r="N95" s="126" t="s">
        <v>426</v>
      </c>
      <c r="O95" s="128">
        <v>6981980.5</v>
      </c>
      <c r="P95" s="128">
        <v>0</v>
      </c>
      <c r="Q95" s="128">
        <v>0</v>
      </c>
      <c r="R95" s="128">
        <v>0</v>
      </c>
      <c r="S95" s="128">
        <f>O95-P95-Q95-R95</f>
        <v>6981980.5</v>
      </c>
      <c r="T95" s="128">
        <f t="shared" si="29"/>
        <v>14248.939795918368</v>
      </c>
      <c r="U95" s="128">
        <v>14248.939795918368</v>
      </c>
      <c r="V95" s="129"/>
      <c r="CR95" s="1"/>
    </row>
    <row r="96" spans="1:96" ht="35.25" x14ac:dyDescent="0.5">
      <c r="B96" s="145" t="s">
        <v>504</v>
      </c>
      <c r="C96" s="145"/>
      <c r="D96" s="123" t="s">
        <v>423</v>
      </c>
      <c r="E96" s="123" t="s">
        <v>423</v>
      </c>
      <c r="F96" s="123" t="s">
        <v>423</v>
      </c>
      <c r="G96" s="123" t="s">
        <v>423</v>
      </c>
      <c r="H96" s="123" t="s">
        <v>423</v>
      </c>
      <c r="I96" s="124">
        <f>I97</f>
        <v>1260.3</v>
      </c>
      <c r="J96" s="124">
        <f t="shared" ref="J96:K96" si="30">J97</f>
        <v>585.6</v>
      </c>
      <c r="K96" s="125">
        <f t="shared" si="30"/>
        <v>44</v>
      </c>
      <c r="L96" s="123" t="s">
        <v>423</v>
      </c>
      <c r="M96" s="123" t="s">
        <v>423</v>
      </c>
      <c r="N96" s="126" t="s">
        <v>423</v>
      </c>
      <c r="O96" s="128">
        <v>12513494.880000001</v>
      </c>
      <c r="P96" s="128">
        <f t="shared" ref="P96:S96" si="31">P97</f>
        <v>0</v>
      </c>
      <c r="Q96" s="128">
        <f t="shared" si="31"/>
        <v>0</v>
      </c>
      <c r="R96" s="128">
        <f t="shared" si="31"/>
        <v>0</v>
      </c>
      <c r="S96" s="128">
        <f t="shared" si="31"/>
        <v>12513494.880000001</v>
      </c>
      <c r="T96" s="128">
        <f t="shared" si="29"/>
        <v>9928.9810997381592</v>
      </c>
      <c r="U96" s="128">
        <f>U97</f>
        <v>10877.85</v>
      </c>
      <c r="V96" s="129">
        <v>0</v>
      </c>
      <c r="W96">
        <v>0</v>
      </c>
      <c r="X96">
        <v>0</v>
      </c>
      <c r="Y96">
        <v>0</v>
      </c>
      <c r="Z96">
        <v>0</v>
      </c>
      <c r="AB96">
        <f>O96-P96-Q96-R96-S96</f>
        <v>0</v>
      </c>
      <c r="AD96">
        <v>0</v>
      </c>
      <c r="AE96">
        <f>AD96*8294.83/I96</f>
        <v>0</v>
      </c>
      <c r="AH96" t="e">
        <f>VLOOKUP(C96,AI:AJ,2,FALSE)</f>
        <v>#N/A</v>
      </c>
      <c r="BU96">
        <f>U96-T96</f>
        <v>948.86890026184119</v>
      </c>
      <c r="BW96" t="e">
        <f>VLOOKUP(C96,BX:BY,2,FALSE)</f>
        <v>#N/A</v>
      </c>
      <c r="CR96" s="1"/>
    </row>
    <row r="97" spans="1:96" ht="35.25" x14ac:dyDescent="0.5">
      <c r="A97">
        <v>1</v>
      </c>
      <c r="B97" s="131">
        <f>SUBTOTAL(9,$A$16:A97)</f>
        <v>75</v>
      </c>
      <c r="C97" s="10" t="s">
        <v>630</v>
      </c>
      <c r="D97" s="27"/>
      <c r="E97" s="123">
        <v>1978</v>
      </c>
      <c r="F97" s="123" t="s">
        <v>420</v>
      </c>
      <c r="G97" s="123">
        <v>2</v>
      </c>
      <c r="H97" s="123" t="s">
        <v>327</v>
      </c>
      <c r="I97" s="124">
        <v>1260.3</v>
      </c>
      <c r="J97" s="124">
        <v>585.6</v>
      </c>
      <c r="K97" s="125">
        <v>44</v>
      </c>
      <c r="L97" s="123" t="s">
        <v>418</v>
      </c>
      <c r="M97" s="123" t="s">
        <v>425</v>
      </c>
      <c r="N97" s="126" t="s">
        <v>426</v>
      </c>
      <c r="O97" s="128">
        <v>12513494.880000001</v>
      </c>
      <c r="P97" s="128">
        <v>0</v>
      </c>
      <c r="Q97" s="128">
        <v>0</v>
      </c>
      <c r="R97" s="128">
        <v>0</v>
      </c>
      <c r="S97" s="128">
        <f>O97-P97-Q97-R97</f>
        <v>12513494.880000001</v>
      </c>
      <c r="T97" s="128">
        <f t="shared" si="29"/>
        <v>9928.9810997381592</v>
      </c>
      <c r="U97" s="128">
        <v>10877.85</v>
      </c>
      <c r="V97" s="76">
        <v>0</v>
      </c>
      <c r="W97" s="76">
        <v>0</v>
      </c>
      <c r="X97" s="76">
        <v>0</v>
      </c>
      <c r="Y97" s="76">
        <v>0</v>
      </c>
      <c r="Z97" s="76">
        <v>0</v>
      </c>
      <c r="AA97" s="142"/>
      <c r="AB97" s="1">
        <f>O97-P97-Q97-R97-S97</f>
        <v>0</v>
      </c>
      <c r="AD97" s="81">
        <v>0</v>
      </c>
      <c r="AE97">
        <f>AD97*8294.83/I97</f>
        <v>0</v>
      </c>
      <c r="AH97" t="e">
        <f>VLOOKUP(C97,AI:AJ,2,FALSE)</f>
        <v>#N/A</v>
      </c>
      <c r="BU97" s="1">
        <f>U97-T97</f>
        <v>948.86890026184119</v>
      </c>
      <c r="BW97" t="e">
        <f>VLOOKUP(C97,BX:BY,2,FALSE)</f>
        <v>#N/A</v>
      </c>
      <c r="CN97" s="1"/>
      <c r="CR97" s="1"/>
    </row>
    <row r="98" spans="1:96" ht="35.25" x14ac:dyDescent="0.5">
      <c r="B98" s="145" t="s">
        <v>505</v>
      </c>
      <c r="C98" s="145"/>
      <c r="D98" s="123" t="s">
        <v>423</v>
      </c>
      <c r="E98" s="123" t="s">
        <v>423</v>
      </c>
      <c r="F98" s="123" t="s">
        <v>423</v>
      </c>
      <c r="G98" s="123" t="s">
        <v>423</v>
      </c>
      <c r="H98" s="123" t="s">
        <v>423</v>
      </c>
      <c r="I98" s="124">
        <f>I99</f>
        <v>774.2</v>
      </c>
      <c r="J98" s="124">
        <f t="shared" ref="J98:K98" si="32">J99</f>
        <v>715</v>
      </c>
      <c r="K98" s="125">
        <f t="shared" si="32"/>
        <v>42</v>
      </c>
      <c r="L98" s="123" t="s">
        <v>423</v>
      </c>
      <c r="M98" s="123" t="s">
        <v>423</v>
      </c>
      <c r="N98" s="126" t="s">
        <v>423</v>
      </c>
      <c r="O98" s="128">
        <v>7934068.75</v>
      </c>
      <c r="P98" s="128">
        <f t="shared" ref="P98:S98" si="33">P99</f>
        <v>0</v>
      </c>
      <c r="Q98" s="128">
        <f t="shared" si="33"/>
        <v>0</v>
      </c>
      <c r="R98" s="128">
        <f t="shared" si="33"/>
        <v>0</v>
      </c>
      <c r="S98" s="128">
        <f t="shared" si="33"/>
        <v>7934068.75</v>
      </c>
      <c r="T98" s="128">
        <f t="shared" si="29"/>
        <v>10248.086734693878</v>
      </c>
      <c r="U98" s="128">
        <f>U99</f>
        <v>10440.9</v>
      </c>
      <c r="V98" s="129"/>
      <c r="CR98" s="1"/>
    </row>
    <row r="99" spans="1:96" ht="35.25" x14ac:dyDescent="0.5">
      <c r="A99">
        <v>1</v>
      </c>
      <c r="B99" s="131">
        <f>SUBTOTAL(9,$A$16:A99)</f>
        <v>76</v>
      </c>
      <c r="C99" s="10" t="s">
        <v>371</v>
      </c>
      <c r="D99" s="27"/>
      <c r="E99" s="123">
        <v>1970</v>
      </c>
      <c r="F99" s="123" t="s">
        <v>420</v>
      </c>
      <c r="G99" s="123">
        <v>2</v>
      </c>
      <c r="H99" s="123" t="s">
        <v>320</v>
      </c>
      <c r="I99" s="124">
        <v>774.2</v>
      </c>
      <c r="J99" s="124">
        <v>715</v>
      </c>
      <c r="K99" s="125">
        <v>42</v>
      </c>
      <c r="L99" s="123" t="s">
        <v>418</v>
      </c>
      <c r="M99" s="123" t="s">
        <v>425</v>
      </c>
      <c r="N99" s="126" t="s">
        <v>426</v>
      </c>
      <c r="O99" s="128">
        <v>7934068.75</v>
      </c>
      <c r="P99" s="128">
        <v>0</v>
      </c>
      <c r="Q99" s="128">
        <v>0</v>
      </c>
      <c r="R99" s="128">
        <v>0</v>
      </c>
      <c r="S99" s="128">
        <f>O99-P99-Q99-R99</f>
        <v>7934068.75</v>
      </c>
      <c r="T99" s="128">
        <f t="shared" si="29"/>
        <v>10248.086734693878</v>
      </c>
      <c r="U99" s="128">
        <v>10440.9</v>
      </c>
      <c r="V99" s="129"/>
      <c r="CR99" s="1"/>
    </row>
    <row r="100" spans="1:96" ht="35.25" x14ac:dyDescent="0.5">
      <c r="B100" s="145" t="s">
        <v>506</v>
      </c>
      <c r="C100" s="145"/>
      <c r="D100" s="123" t="s">
        <v>423</v>
      </c>
      <c r="E100" s="123" t="s">
        <v>423</v>
      </c>
      <c r="F100" s="123" t="s">
        <v>423</v>
      </c>
      <c r="G100" s="123" t="s">
        <v>423</v>
      </c>
      <c r="H100" s="123" t="s">
        <v>423</v>
      </c>
      <c r="I100" s="124">
        <f>I101</f>
        <v>415</v>
      </c>
      <c r="J100" s="124">
        <f t="shared" ref="J100:K100" si="34">J101</f>
        <v>387</v>
      </c>
      <c r="K100" s="125">
        <f t="shared" si="34"/>
        <v>17</v>
      </c>
      <c r="L100" s="123" t="s">
        <v>423</v>
      </c>
      <c r="M100" s="123" t="s">
        <v>423</v>
      </c>
      <c r="N100" s="126" t="s">
        <v>423</v>
      </c>
      <c r="O100" s="128">
        <v>4570023.5999999996</v>
      </c>
      <c r="P100" s="128">
        <f t="shared" ref="P100:S100" si="35">P101</f>
        <v>0</v>
      </c>
      <c r="Q100" s="128">
        <f t="shared" si="35"/>
        <v>0</v>
      </c>
      <c r="R100" s="128">
        <f t="shared" si="35"/>
        <v>0</v>
      </c>
      <c r="S100" s="128">
        <f t="shared" si="35"/>
        <v>4570023.5999999996</v>
      </c>
      <c r="T100" s="128">
        <f t="shared" si="29"/>
        <v>11012.105060240963</v>
      </c>
      <c r="U100" s="128">
        <f>U101</f>
        <v>11219.29</v>
      </c>
      <c r="V100" s="129"/>
      <c r="CR100" s="1"/>
    </row>
    <row r="101" spans="1:96" ht="35.25" x14ac:dyDescent="0.5">
      <c r="A101">
        <v>1</v>
      </c>
      <c r="B101" s="131">
        <f>SUBTOTAL(9,$A$16:A101)</f>
        <v>77</v>
      </c>
      <c r="C101" s="10" t="s">
        <v>376</v>
      </c>
      <c r="D101" s="27"/>
      <c r="E101" s="123">
        <v>1978</v>
      </c>
      <c r="F101" s="123" t="s">
        <v>420</v>
      </c>
      <c r="G101" s="123">
        <v>2</v>
      </c>
      <c r="H101" s="123" t="s">
        <v>318</v>
      </c>
      <c r="I101" s="124">
        <v>415</v>
      </c>
      <c r="J101" s="124">
        <v>387</v>
      </c>
      <c r="K101" s="125">
        <v>17</v>
      </c>
      <c r="L101" s="123" t="s">
        <v>418</v>
      </c>
      <c r="M101" s="123" t="s">
        <v>425</v>
      </c>
      <c r="N101" s="126" t="s">
        <v>426</v>
      </c>
      <c r="O101" s="128">
        <v>4570023.5999999996</v>
      </c>
      <c r="P101" s="128">
        <v>0</v>
      </c>
      <c r="Q101" s="128">
        <v>0</v>
      </c>
      <c r="R101" s="128">
        <v>0</v>
      </c>
      <c r="S101" s="128">
        <f>O101-P101-Q101-R101</f>
        <v>4570023.5999999996</v>
      </c>
      <c r="T101" s="128">
        <f t="shared" si="29"/>
        <v>11012.105060240963</v>
      </c>
      <c r="U101" s="128">
        <v>11219.29</v>
      </c>
      <c r="V101" s="129"/>
      <c r="CR101" s="1"/>
    </row>
    <row r="102" spans="1:96" ht="35.25" x14ac:dyDescent="0.5">
      <c r="B102" s="145" t="s">
        <v>509</v>
      </c>
      <c r="C102" s="145"/>
      <c r="D102" s="123" t="s">
        <v>423</v>
      </c>
      <c r="E102" s="123" t="s">
        <v>423</v>
      </c>
      <c r="F102" s="123" t="s">
        <v>423</v>
      </c>
      <c r="G102" s="123" t="s">
        <v>423</v>
      </c>
      <c r="H102" s="123" t="s">
        <v>423</v>
      </c>
      <c r="I102" s="124">
        <f>I103+I104</f>
        <v>1678.1999999999998</v>
      </c>
      <c r="J102" s="124">
        <f t="shared" ref="J102:K102" si="36">J103+J104</f>
        <v>1625.4</v>
      </c>
      <c r="K102" s="125">
        <f t="shared" si="36"/>
        <v>91</v>
      </c>
      <c r="L102" s="123" t="s">
        <v>423</v>
      </c>
      <c r="M102" s="123" t="s">
        <v>423</v>
      </c>
      <c r="N102" s="126" t="s">
        <v>423</v>
      </c>
      <c r="O102" s="128">
        <v>12256188.469999999</v>
      </c>
      <c r="P102" s="128">
        <f>P103+P104</f>
        <v>0</v>
      </c>
      <c r="Q102" s="128">
        <f t="shared" ref="Q102:S102" si="37">Q103+Q104</f>
        <v>0</v>
      </c>
      <c r="R102" s="128">
        <f t="shared" si="37"/>
        <v>0</v>
      </c>
      <c r="S102" s="128">
        <f t="shared" si="37"/>
        <v>12256188.469999999</v>
      </c>
      <c r="T102" s="128">
        <f t="shared" si="29"/>
        <v>7303.1751102371591</v>
      </c>
      <c r="U102" s="128">
        <f>MAX(U103:U104)</f>
        <v>9056.2199999999993</v>
      </c>
      <c r="V102" s="129"/>
      <c r="CR102" s="1"/>
    </row>
    <row r="103" spans="1:96" ht="35.25" x14ac:dyDescent="0.5">
      <c r="A103">
        <v>1</v>
      </c>
      <c r="B103" s="131">
        <f>SUBTOTAL(9,$A$16:A103)</f>
        <v>78</v>
      </c>
      <c r="C103" s="147" t="s">
        <v>592</v>
      </c>
      <c r="D103" s="148"/>
      <c r="E103" s="123">
        <v>1979</v>
      </c>
      <c r="F103" s="123" t="s">
        <v>420</v>
      </c>
      <c r="G103" s="123">
        <v>2</v>
      </c>
      <c r="H103" s="123" t="s">
        <v>327</v>
      </c>
      <c r="I103" s="124">
        <v>1070.8</v>
      </c>
      <c r="J103" s="124">
        <v>1070.8</v>
      </c>
      <c r="K103" s="125">
        <v>57</v>
      </c>
      <c r="L103" s="123" t="s">
        <v>418</v>
      </c>
      <c r="M103" s="123" t="s">
        <v>427</v>
      </c>
      <c r="N103" s="126" t="s">
        <v>593</v>
      </c>
      <c r="O103" s="134">
        <v>6070660.6799999997</v>
      </c>
      <c r="P103" s="134">
        <v>0</v>
      </c>
      <c r="Q103" s="134">
        <v>0</v>
      </c>
      <c r="R103" s="134">
        <v>0</v>
      </c>
      <c r="S103" s="134">
        <f t="shared" ref="S103:S104" si="38">O103-Q103-R103</f>
        <v>6070660.6799999997</v>
      </c>
      <c r="T103" s="135">
        <f t="shared" si="29"/>
        <v>5669.2759432200228</v>
      </c>
      <c r="U103" s="134">
        <v>8434.39</v>
      </c>
      <c r="V103" s="129"/>
      <c r="W103" s="143"/>
      <c r="X103" s="143"/>
      <c r="Y103" s="143"/>
      <c r="Z103" s="143"/>
      <c r="AA103" s="142"/>
      <c r="AB103" s="1"/>
      <c r="AD103" s="144"/>
      <c r="BU103" s="1"/>
      <c r="CN103" s="1"/>
      <c r="CR103" s="1"/>
    </row>
    <row r="104" spans="1:96" ht="35.25" x14ac:dyDescent="0.5">
      <c r="A104">
        <v>1</v>
      </c>
      <c r="B104" s="131">
        <f>SUBTOTAL(9,$A$16:A104)</f>
        <v>79</v>
      </c>
      <c r="C104" s="132" t="s">
        <v>667</v>
      </c>
      <c r="D104" s="133"/>
      <c r="E104" s="123">
        <v>1981</v>
      </c>
      <c r="F104" s="123" t="s">
        <v>420</v>
      </c>
      <c r="G104" s="123">
        <v>2</v>
      </c>
      <c r="H104" s="123" t="s">
        <v>320</v>
      </c>
      <c r="I104" s="124">
        <v>607.4</v>
      </c>
      <c r="J104" s="124">
        <v>554.6</v>
      </c>
      <c r="K104" s="125">
        <v>34</v>
      </c>
      <c r="L104" s="123" t="s">
        <v>418</v>
      </c>
      <c r="M104" s="123" t="s">
        <v>425</v>
      </c>
      <c r="N104" s="126" t="s">
        <v>426</v>
      </c>
      <c r="O104" s="134">
        <v>6185527.79</v>
      </c>
      <c r="P104" s="134">
        <v>0</v>
      </c>
      <c r="Q104" s="134">
        <v>0</v>
      </c>
      <c r="R104" s="134">
        <v>0</v>
      </c>
      <c r="S104" s="134">
        <f t="shared" si="38"/>
        <v>6185527.79</v>
      </c>
      <c r="T104" s="135">
        <f t="shared" si="29"/>
        <v>10183.615064208101</v>
      </c>
      <c r="U104" s="134">
        <v>9056.2199999999993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142"/>
      <c r="AB104" s="1">
        <f t="shared" ref="AB104" si="39">O104-P104-Q104-R104-S104</f>
        <v>0</v>
      </c>
      <c r="AD104" s="81">
        <v>0</v>
      </c>
      <c r="AE104">
        <f t="shared" ref="AE104" si="40">AD104*8294.83/I104</f>
        <v>0</v>
      </c>
      <c r="BU104" s="1">
        <f t="shared" ref="BU104" si="41">U104-T104</f>
        <v>-1127.3950642081018</v>
      </c>
      <c r="CN104" s="1"/>
    </row>
    <row r="105" spans="1:96" ht="35.25" x14ac:dyDescent="0.5">
      <c r="B105" s="145" t="s">
        <v>692</v>
      </c>
      <c r="C105" s="145"/>
      <c r="D105" s="123" t="s">
        <v>423</v>
      </c>
      <c r="E105" s="123" t="s">
        <v>423</v>
      </c>
      <c r="F105" s="123" t="s">
        <v>423</v>
      </c>
      <c r="G105" s="123" t="s">
        <v>423</v>
      </c>
      <c r="H105" s="123" t="s">
        <v>423</v>
      </c>
      <c r="I105" s="124">
        <f>SUM(I106:I111)</f>
        <v>4884.8599999999997</v>
      </c>
      <c r="J105" s="124">
        <f t="shared" ref="J105:K105" si="42">SUM(J106:J111)</f>
        <v>3990.7000000000003</v>
      </c>
      <c r="K105" s="125">
        <f t="shared" si="42"/>
        <v>174</v>
      </c>
      <c r="L105" s="123" t="s">
        <v>423</v>
      </c>
      <c r="M105" s="123" t="s">
        <v>423</v>
      </c>
      <c r="N105" s="126" t="s">
        <v>423</v>
      </c>
      <c r="O105" s="128">
        <f>SUM(O106:O111)</f>
        <v>32255875.340000004</v>
      </c>
      <c r="P105" s="128">
        <f t="shared" ref="P105:S105" si="43">SUM(P106:P111)</f>
        <v>0</v>
      </c>
      <c r="Q105" s="128">
        <f t="shared" si="43"/>
        <v>0</v>
      </c>
      <c r="R105" s="128">
        <f t="shared" si="43"/>
        <v>0</v>
      </c>
      <c r="S105" s="128">
        <f t="shared" si="43"/>
        <v>32255875.340000004</v>
      </c>
      <c r="T105" s="128">
        <f t="shared" si="29"/>
        <v>6603.2343485790798</v>
      </c>
      <c r="U105" s="128">
        <f>MAX(U106:U111)</f>
        <v>13755.84</v>
      </c>
      <c r="V105" s="129"/>
      <c r="CR105" s="1"/>
    </row>
    <row r="106" spans="1:96" ht="35.25" x14ac:dyDescent="0.5">
      <c r="A106">
        <v>1</v>
      </c>
      <c r="B106" s="131">
        <f>SUBTOTAL(9,$A$16:A106)</f>
        <v>80</v>
      </c>
      <c r="C106" s="10" t="s">
        <v>583</v>
      </c>
      <c r="D106" s="123"/>
      <c r="E106" s="123">
        <v>1971</v>
      </c>
      <c r="F106" s="123" t="s">
        <v>421</v>
      </c>
      <c r="G106" s="123">
        <v>2</v>
      </c>
      <c r="H106" s="123">
        <v>3</v>
      </c>
      <c r="I106" s="124">
        <v>915</v>
      </c>
      <c r="J106" s="124">
        <v>606</v>
      </c>
      <c r="K106" s="125">
        <v>28</v>
      </c>
      <c r="L106" s="123" t="s">
        <v>418</v>
      </c>
      <c r="M106" s="123" t="s">
        <v>424</v>
      </c>
      <c r="N106" s="126" t="s">
        <v>442</v>
      </c>
      <c r="O106" s="128">
        <v>7964524.9100000001</v>
      </c>
      <c r="P106" s="128">
        <v>0</v>
      </c>
      <c r="Q106" s="128">
        <v>0</v>
      </c>
      <c r="R106" s="128">
        <v>0</v>
      </c>
      <c r="S106" s="128">
        <f t="shared" ref="S106:S111" si="44">O106-P106-Q106-R106</f>
        <v>7964524.9100000001</v>
      </c>
      <c r="T106" s="128">
        <f t="shared" si="29"/>
        <v>8704.3988087431699</v>
      </c>
      <c r="U106" s="128">
        <v>10891.2</v>
      </c>
      <c r="V106" s="129"/>
      <c r="CR106" s="1"/>
    </row>
    <row r="107" spans="1:96" ht="35.25" x14ac:dyDescent="0.5">
      <c r="A107">
        <v>1</v>
      </c>
      <c r="B107" s="131">
        <f>SUBTOTAL(9,$A$16:A107)</f>
        <v>81</v>
      </c>
      <c r="C107" s="10" t="s">
        <v>170</v>
      </c>
      <c r="D107" s="123"/>
      <c r="E107" s="123">
        <v>1994</v>
      </c>
      <c r="F107" s="123" t="s">
        <v>421</v>
      </c>
      <c r="G107" s="123">
        <v>2</v>
      </c>
      <c r="H107" s="123" t="s">
        <v>320</v>
      </c>
      <c r="I107" s="124">
        <v>1021.8</v>
      </c>
      <c r="J107" s="124">
        <v>621.4</v>
      </c>
      <c r="K107" s="125">
        <v>23</v>
      </c>
      <c r="L107" s="123" t="s">
        <v>418</v>
      </c>
      <c r="M107" s="123" t="s">
        <v>425</v>
      </c>
      <c r="N107" s="126" t="s">
        <v>426</v>
      </c>
      <c r="O107" s="128">
        <v>5810847</v>
      </c>
      <c r="P107" s="128">
        <v>0</v>
      </c>
      <c r="Q107" s="128">
        <v>0</v>
      </c>
      <c r="R107" s="128">
        <v>0</v>
      </c>
      <c r="S107" s="128">
        <f t="shared" si="44"/>
        <v>5810847</v>
      </c>
      <c r="T107" s="128">
        <f t="shared" si="29"/>
        <v>5686.8731650029358</v>
      </c>
      <c r="U107" s="128">
        <v>6350.23</v>
      </c>
      <c r="V107" s="129"/>
      <c r="CR107" s="1"/>
    </row>
    <row r="108" spans="1:96" ht="35.25" x14ac:dyDescent="0.5">
      <c r="A108">
        <v>1</v>
      </c>
      <c r="B108" s="131">
        <f>SUBTOTAL(9,$A$16:A108)</f>
        <v>82</v>
      </c>
      <c r="C108" s="10" t="s">
        <v>582</v>
      </c>
      <c r="D108" s="123"/>
      <c r="E108" s="123">
        <v>1970</v>
      </c>
      <c r="F108" s="123" t="s">
        <v>420</v>
      </c>
      <c r="G108" s="123">
        <v>2</v>
      </c>
      <c r="H108" s="123">
        <v>2</v>
      </c>
      <c r="I108" s="124">
        <v>561.29999999999995</v>
      </c>
      <c r="J108" s="124">
        <v>513.29999999999995</v>
      </c>
      <c r="K108" s="125">
        <v>19</v>
      </c>
      <c r="L108" s="123" t="s">
        <v>418</v>
      </c>
      <c r="M108" s="123" t="s">
        <v>425</v>
      </c>
      <c r="N108" s="126" t="s">
        <v>426</v>
      </c>
      <c r="O108" s="128">
        <v>5329155.3</v>
      </c>
      <c r="P108" s="128">
        <v>0</v>
      </c>
      <c r="Q108" s="128">
        <v>0</v>
      </c>
      <c r="R108" s="128">
        <v>0</v>
      </c>
      <c r="S108" s="128">
        <f t="shared" si="44"/>
        <v>5329155.3</v>
      </c>
      <c r="T108" s="128">
        <f t="shared" si="29"/>
        <v>9494.3083912346337</v>
      </c>
      <c r="U108" s="128">
        <v>9494.31</v>
      </c>
      <c r="V108" s="129"/>
      <c r="CR108" s="1"/>
    </row>
    <row r="109" spans="1:96" ht="35.25" x14ac:dyDescent="0.5">
      <c r="A109">
        <v>1</v>
      </c>
      <c r="B109" s="131">
        <f>SUBTOTAL(9,$A$16:A109)</f>
        <v>83</v>
      </c>
      <c r="C109" s="10" t="s">
        <v>171</v>
      </c>
      <c r="D109" s="123"/>
      <c r="E109" s="123">
        <v>1976</v>
      </c>
      <c r="F109" s="123" t="s">
        <v>420</v>
      </c>
      <c r="G109" s="123">
        <v>2</v>
      </c>
      <c r="H109" s="123" t="s">
        <v>320</v>
      </c>
      <c r="I109" s="124">
        <v>761.6</v>
      </c>
      <c r="J109" s="124">
        <v>761.6</v>
      </c>
      <c r="K109" s="125">
        <v>42</v>
      </c>
      <c r="L109" s="123" t="s">
        <v>418</v>
      </c>
      <c r="M109" s="123" t="s">
        <v>425</v>
      </c>
      <c r="N109" s="126" t="s">
        <v>426</v>
      </c>
      <c r="O109" s="128">
        <v>1374069</v>
      </c>
      <c r="P109" s="128">
        <v>0</v>
      </c>
      <c r="Q109" s="128">
        <v>0</v>
      </c>
      <c r="R109" s="128">
        <v>0</v>
      </c>
      <c r="S109" s="128">
        <f t="shared" si="44"/>
        <v>1374069</v>
      </c>
      <c r="T109" s="128">
        <f t="shared" si="29"/>
        <v>1804.1872373949579</v>
      </c>
      <c r="U109" s="128">
        <v>2668.39</v>
      </c>
      <c r="V109" s="129"/>
      <c r="CR109" s="1"/>
    </row>
    <row r="110" spans="1:96" ht="35.25" x14ac:dyDescent="0.5">
      <c r="A110">
        <v>1</v>
      </c>
      <c r="B110" s="131">
        <f>SUBTOTAL(9,$A$16:A110)</f>
        <v>84</v>
      </c>
      <c r="C110" s="10" t="s">
        <v>608</v>
      </c>
      <c r="D110" s="123"/>
      <c r="E110" s="123">
        <v>1979</v>
      </c>
      <c r="F110" s="123" t="s">
        <v>421</v>
      </c>
      <c r="G110" s="123">
        <v>3</v>
      </c>
      <c r="H110" s="123">
        <v>2</v>
      </c>
      <c r="I110" s="124">
        <v>1011.8</v>
      </c>
      <c r="J110" s="124">
        <v>928.8</v>
      </c>
      <c r="K110" s="125">
        <v>25</v>
      </c>
      <c r="L110" s="123" t="s">
        <v>418</v>
      </c>
      <c r="M110" s="123" t="s">
        <v>425</v>
      </c>
      <c r="N110" s="126" t="s">
        <v>426</v>
      </c>
      <c r="O110" s="128">
        <v>3340000</v>
      </c>
      <c r="P110" s="128">
        <v>0</v>
      </c>
      <c r="Q110" s="128">
        <v>0</v>
      </c>
      <c r="R110" s="128">
        <v>0</v>
      </c>
      <c r="S110" s="128">
        <f t="shared" si="44"/>
        <v>3340000</v>
      </c>
      <c r="T110" s="128">
        <f t="shared" si="29"/>
        <v>3301.0476378730978</v>
      </c>
      <c r="U110" s="128">
        <v>4810.4399999999996</v>
      </c>
      <c r="V110" s="129"/>
      <c r="CR110" s="1"/>
    </row>
    <row r="111" spans="1:96" ht="35.25" x14ac:dyDescent="0.5">
      <c r="A111">
        <v>1</v>
      </c>
      <c r="B111" s="131">
        <f>SUBTOTAL(9,$A$16:A111)</f>
        <v>85</v>
      </c>
      <c r="C111" s="10" t="s">
        <v>581</v>
      </c>
      <c r="D111" s="123"/>
      <c r="E111" s="123">
        <v>1976</v>
      </c>
      <c r="F111" s="123" t="s">
        <v>420</v>
      </c>
      <c r="G111" s="123">
        <v>2</v>
      </c>
      <c r="H111" s="123">
        <v>3</v>
      </c>
      <c r="I111" s="124">
        <v>613.36</v>
      </c>
      <c r="J111" s="124">
        <v>559.6</v>
      </c>
      <c r="K111" s="125">
        <v>37</v>
      </c>
      <c r="L111" s="123" t="s">
        <v>418</v>
      </c>
      <c r="M111" s="123" t="s">
        <v>424</v>
      </c>
      <c r="N111" s="126" t="s">
        <v>585</v>
      </c>
      <c r="O111" s="128">
        <v>8437279.1300000008</v>
      </c>
      <c r="P111" s="128">
        <v>0</v>
      </c>
      <c r="Q111" s="128">
        <v>0</v>
      </c>
      <c r="R111" s="128">
        <v>0</v>
      </c>
      <c r="S111" s="128">
        <f t="shared" si="44"/>
        <v>8437279.1300000008</v>
      </c>
      <c r="T111" s="128">
        <f t="shared" si="29"/>
        <v>13755.835284335464</v>
      </c>
      <c r="U111" s="128">
        <v>13755.84</v>
      </c>
      <c r="V111" s="129"/>
      <c r="CR111" s="1"/>
    </row>
    <row r="112" spans="1:96" ht="35.25" x14ac:dyDescent="0.5">
      <c r="B112" s="122" t="s">
        <v>691</v>
      </c>
      <c r="C112" s="122"/>
      <c r="D112" s="123" t="s">
        <v>423</v>
      </c>
      <c r="E112" s="123" t="s">
        <v>423</v>
      </c>
      <c r="F112" s="123" t="s">
        <v>423</v>
      </c>
      <c r="G112" s="123" t="s">
        <v>423</v>
      </c>
      <c r="H112" s="123" t="s">
        <v>423</v>
      </c>
      <c r="I112" s="124">
        <f>I113+I114+I115</f>
        <v>2204.5</v>
      </c>
      <c r="J112" s="124">
        <f t="shared" ref="J112:K112" si="45">J113+J114+J115</f>
        <v>1227.4000000000001</v>
      </c>
      <c r="K112" s="125">
        <f t="shared" si="45"/>
        <v>47</v>
      </c>
      <c r="L112" s="123" t="s">
        <v>423</v>
      </c>
      <c r="M112" s="123" t="s">
        <v>423</v>
      </c>
      <c r="N112" s="126" t="s">
        <v>423</v>
      </c>
      <c r="O112" s="128">
        <f>O113+O114+O115</f>
        <v>25234806.379999999</v>
      </c>
      <c r="P112" s="128">
        <f t="shared" ref="P112:S112" si="46">P113+P114+P115</f>
        <v>0</v>
      </c>
      <c r="Q112" s="128">
        <f t="shared" si="46"/>
        <v>0</v>
      </c>
      <c r="R112" s="128">
        <f t="shared" si="46"/>
        <v>0</v>
      </c>
      <c r="S112" s="128">
        <f t="shared" si="46"/>
        <v>25234806.379999999</v>
      </c>
      <c r="T112" s="128">
        <f t="shared" ref="T112:T142" si="47">O112/I112</f>
        <v>11446.95231571785</v>
      </c>
      <c r="U112" s="128">
        <f>MAX(U113:U115)</f>
        <v>20975.3</v>
      </c>
      <c r="V112" s="129"/>
      <c r="CR112" s="1"/>
    </row>
    <row r="113" spans="1:96" ht="35.25" x14ac:dyDescent="0.5">
      <c r="A113">
        <v>1</v>
      </c>
      <c r="B113" s="131">
        <f>SUBTOTAL(9,$A$16:A113)</f>
        <v>86</v>
      </c>
      <c r="C113" s="10" t="s">
        <v>176</v>
      </c>
      <c r="D113" s="123"/>
      <c r="E113" s="123">
        <v>1970</v>
      </c>
      <c r="F113" s="123" t="s">
        <v>420</v>
      </c>
      <c r="G113" s="123">
        <v>2</v>
      </c>
      <c r="H113" s="123" t="s">
        <v>318</v>
      </c>
      <c r="I113" s="124">
        <v>363.8</v>
      </c>
      <c r="J113" s="124">
        <v>363.8</v>
      </c>
      <c r="K113" s="125">
        <v>8</v>
      </c>
      <c r="L113" s="123" t="s">
        <v>418</v>
      </c>
      <c r="M113" s="123" t="s">
        <v>425</v>
      </c>
      <c r="N113" s="126" t="s">
        <v>426</v>
      </c>
      <c r="O113" s="128">
        <v>4443078.5</v>
      </c>
      <c r="P113" s="128">
        <v>0</v>
      </c>
      <c r="Q113" s="128">
        <v>0</v>
      </c>
      <c r="R113" s="128">
        <v>0</v>
      </c>
      <c r="S113" s="128">
        <f>O113-P113-Q113-R113</f>
        <v>4443078.5</v>
      </c>
      <c r="T113" s="128">
        <f t="shared" si="47"/>
        <v>12212.970038482683</v>
      </c>
      <c r="U113" s="128">
        <v>12442.75</v>
      </c>
      <c r="V113" s="129"/>
      <c r="CR113" s="1"/>
    </row>
    <row r="114" spans="1:96" ht="35.25" x14ac:dyDescent="0.5">
      <c r="A114">
        <v>1</v>
      </c>
      <c r="B114" s="131">
        <f>SUBTOTAL(9,$A$16:A114)</f>
        <v>87</v>
      </c>
      <c r="C114" s="10" t="s">
        <v>177</v>
      </c>
      <c r="D114" s="123"/>
      <c r="E114" s="123">
        <v>1972</v>
      </c>
      <c r="F114" s="123" t="s">
        <v>420</v>
      </c>
      <c r="G114" s="123">
        <v>2</v>
      </c>
      <c r="H114" s="123" t="s">
        <v>327</v>
      </c>
      <c r="I114" s="124">
        <v>1541.1</v>
      </c>
      <c r="J114" s="124">
        <v>586.9</v>
      </c>
      <c r="K114" s="125">
        <v>22</v>
      </c>
      <c r="L114" s="123" t="s">
        <v>418</v>
      </c>
      <c r="M114" s="123" t="s">
        <v>425</v>
      </c>
      <c r="N114" s="126" t="s">
        <v>426</v>
      </c>
      <c r="O114" s="128">
        <v>14507526.879999999</v>
      </c>
      <c r="P114" s="128">
        <v>0</v>
      </c>
      <c r="Q114" s="128">
        <v>0</v>
      </c>
      <c r="R114" s="128">
        <v>0</v>
      </c>
      <c r="S114" s="128">
        <f>O114-P114-Q114-R114</f>
        <v>14507526.879999999</v>
      </c>
      <c r="T114" s="128">
        <f t="shared" si="47"/>
        <v>9413.7478943611713</v>
      </c>
      <c r="U114" s="128">
        <v>9413.75</v>
      </c>
      <c r="V114" s="129"/>
      <c r="CR114" s="1"/>
    </row>
    <row r="115" spans="1:96" ht="35.25" x14ac:dyDescent="0.5">
      <c r="A115">
        <v>1</v>
      </c>
      <c r="B115" s="131">
        <f>SUBTOTAL(9,$A$16:A115)</f>
        <v>88</v>
      </c>
      <c r="C115" s="10" t="s">
        <v>180</v>
      </c>
      <c r="D115" s="123"/>
      <c r="E115" s="123">
        <v>1961</v>
      </c>
      <c r="F115" s="123" t="s">
        <v>420</v>
      </c>
      <c r="G115" s="123">
        <v>2</v>
      </c>
      <c r="H115" s="123" t="s">
        <v>318</v>
      </c>
      <c r="I115" s="124">
        <v>299.60000000000002</v>
      </c>
      <c r="J115" s="124">
        <v>276.7</v>
      </c>
      <c r="K115" s="125">
        <v>17</v>
      </c>
      <c r="L115" s="123" t="s">
        <v>418</v>
      </c>
      <c r="M115" s="123" t="s">
        <v>425</v>
      </c>
      <c r="N115" s="126" t="s">
        <v>426</v>
      </c>
      <c r="O115" s="128">
        <v>6284201</v>
      </c>
      <c r="P115" s="128">
        <v>0</v>
      </c>
      <c r="Q115" s="128">
        <v>0</v>
      </c>
      <c r="R115" s="128">
        <v>0</v>
      </c>
      <c r="S115" s="128">
        <f>O115-P115-Q115-R115</f>
        <v>6284201</v>
      </c>
      <c r="T115" s="128">
        <f t="shared" si="47"/>
        <v>20975.303738317754</v>
      </c>
      <c r="U115" s="128">
        <v>20975.3</v>
      </c>
      <c r="V115" s="129"/>
      <c r="CR115" s="1"/>
    </row>
    <row r="116" spans="1:96" ht="35.25" x14ac:dyDescent="0.5">
      <c r="B116" s="122" t="s">
        <v>688</v>
      </c>
      <c r="C116" s="122"/>
      <c r="D116" s="123" t="s">
        <v>423</v>
      </c>
      <c r="E116" s="123" t="s">
        <v>423</v>
      </c>
      <c r="F116" s="123" t="s">
        <v>423</v>
      </c>
      <c r="G116" s="123" t="s">
        <v>423</v>
      </c>
      <c r="H116" s="123" t="s">
        <v>423</v>
      </c>
      <c r="I116" s="124">
        <f>I117+I118+I119+I120</f>
        <v>3620.6</v>
      </c>
      <c r="J116" s="124">
        <f t="shared" ref="J116:K116" si="48">J117+J118+J119+J120</f>
        <v>2513.1000000000004</v>
      </c>
      <c r="K116" s="125">
        <f t="shared" si="48"/>
        <v>129</v>
      </c>
      <c r="L116" s="123" t="s">
        <v>423</v>
      </c>
      <c r="M116" s="123" t="s">
        <v>423</v>
      </c>
      <c r="N116" s="126" t="s">
        <v>423</v>
      </c>
      <c r="O116" s="128">
        <f>O117+O118+O119+O120</f>
        <v>59468472.069999993</v>
      </c>
      <c r="P116" s="128">
        <f t="shared" ref="P116:S116" si="49">P117+P118+P119+P120</f>
        <v>0</v>
      </c>
      <c r="Q116" s="128">
        <f t="shared" si="49"/>
        <v>0</v>
      </c>
      <c r="R116" s="128">
        <f t="shared" si="49"/>
        <v>42522199.980000004</v>
      </c>
      <c r="S116" s="128">
        <f t="shared" si="49"/>
        <v>16946272.089999996</v>
      </c>
      <c r="T116" s="128">
        <f t="shared" si="47"/>
        <v>16425.03233441971</v>
      </c>
      <c r="U116" s="128">
        <f>MAX(U117:U120)</f>
        <v>40233.86</v>
      </c>
      <c r="V116" s="129"/>
      <c r="CR116" s="1"/>
    </row>
    <row r="117" spans="1:96" ht="35.25" x14ac:dyDescent="0.5">
      <c r="A117">
        <v>1</v>
      </c>
      <c r="B117" s="131">
        <f>SUBTOTAL(9,$A$16:A117)</f>
        <v>89</v>
      </c>
      <c r="C117" s="10" t="s">
        <v>590</v>
      </c>
      <c r="D117" s="123"/>
      <c r="E117" s="123">
        <v>1981</v>
      </c>
      <c r="F117" s="123" t="s">
        <v>420</v>
      </c>
      <c r="G117" s="123">
        <v>2</v>
      </c>
      <c r="H117" s="123">
        <v>3</v>
      </c>
      <c r="I117" s="124">
        <v>1026</v>
      </c>
      <c r="J117" s="124">
        <v>920.3</v>
      </c>
      <c r="K117" s="125">
        <v>36</v>
      </c>
      <c r="L117" s="123" t="s">
        <v>418</v>
      </c>
      <c r="M117" s="123" t="s">
        <v>424</v>
      </c>
      <c r="N117" s="126" t="s">
        <v>591</v>
      </c>
      <c r="O117" s="128">
        <v>9891909.9899999984</v>
      </c>
      <c r="P117" s="128">
        <v>0</v>
      </c>
      <c r="Q117" s="128">
        <v>0</v>
      </c>
      <c r="R117" s="128">
        <v>0</v>
      </c>
      <c r="S117" s="128">
        <f>O117-P117-Q117-R117</f>
        <v>9891909.9899999984</v>
      </c>
      <c r="T117" s="128">
        <f t="shared" si="47"/>
        <v>9641.2378070175419</v>
      </c>
      <c r="U117" s="128">
        <v>11135.54</v>
      </c>
      <c r="V117" s="129"/>
      <c r="CR117" s="1"/>
    </row>
    <row r="118" spans="1:96" ht="35.25" x14ac:dyDescent="0.5">
      <c r="A118">
        <v>1</v>
      </c>
      <c r="B118" s="131">
        <f>SUBTOTAL(9,$A$16:A118)</f>
        <v>90</v>
      </c>
      <c r="C118" s="10" t="s">
        <v>689</v>
      </c>
      <c r="D118" s="123"/>
      <c r="E118" s="123">
        <v>1981</v>
      </c>
      <c r="F118" s="123" t="s">
        <v>420</v>
      </c>
      <c r="G118" s="123">
        <v>2</v>
      </c>
      <c r="H118" s="123">
        <v>2</v>
      </c>
      <c r="I118" s="124">
        <v>1300.5999999999999</v>
      </c>
      <c r="J118" s="124">
        <v>792.1</v>
      </c>
      <c r="K118" s="125">
        <v>42</v>
      </c>
      <c r="L118" s="123" t="s">
        <v>418</v>
      </c>
      <c r="M118" s="123" t="s">
        <v>425</v>
      </c>
      <c r="N118" s="126" t="s">
        <v>426</v>
      </c>
      <c r="O118" s="128">
        <v>7054362.0999999996</v>
      </c>
      <c r="P118" s="128">
        <v>0</v>
      </c>
      <c r="Q118" s="128">
        <v>0</v>
      </c>
      <c r="R118" s="128">
        <v>0</v>
      </c>
      <c r="S118" s="128">
        <f>O118-P118-Q118-R118</f>
        <v>7054362.0999999996</v>
      </c>
      <c r="T118" s="128">
        <f t="shared" si="47"/>
        <v>5423.9290327541139</v>
      </c>
      <c r="U118" s="128">
        <v>6812.83</v>
      </c>
      <c r="V118" s="129"/>
      <c r="CR118" s="1"/>
    </row>
    <row r="119" spans="1:96" ht="35.25" x14ac:dyDescent="0.5">
      <c r="A119">
        <v>1</v>
      </c>
      <c r="B119" s="131">
        <f>SUBTOTAL(9,$A$16:A119)</f>
        <v>91</v>
      </c>
      <c r="C119" s="10" t="s">
        <v>720</v>
      </c>
      <c r="D119" s="123"/>
      <c r="E119" s="123">
        <v>1992</v>
      </c>
      <c r="F119" s="123" t="s">
        <v>421</v>
      </c>
      <c r="G119" s="123">
        <v>2</v>
      </c>
      <c r="H119" s="123">
        <v>2</v>
      </c>
      <c r="I119" s="124">
        <v>574</v>
      </c>
      <c r="J119" s="124">
        <v>325.7</v>
      </c>
      <c r="K119" s="125">
        <v>31</v>
      </c>
      <c r="L119" s="123" t="s">
        <v>418</v>
      </c>
      <c r="M119" s="123" t="s">
        <v>425</v>
      </c>
      <c r="N119" s="126" t="s">
        <v>426</v>
      </c>
      <c r="O119" s="128">
        <v>23105714.419999998</v>
      </c>
      <c r="P119" s="128">
        <v>0</v>
      </c>
      <c r="Q119" s="128">
        <v>0</v>
      </c>
      <c r="R119" s="128">
        <f>O119</f>
        <v>23105714.419999998</v>
      </c>
      <c r="S119" s="128">
        <f>O119-P119-R119-Q119</f>
        <v>0</v>
      </c>
      <c r="T119" s="128">
        <f>O119/I119</f>
        <v>40253.857874564455</v>
      </c>
      <c r="U119" s="128">
        <v>40233.86</v>
      </c>
      <c r="V119" s="129"/>
      <c r="CR119" s="1"/>
    </row>
    <row r="120" spans="1:96" ht="35.25" x14ac:dyDescent="0.5">
      <c r="A120">
        <v>1</v>
      </c>
      <c r="B120" s="131">
        <f>SUBTOTAL(9,$A$16:A120)</f>
        <v>92</v>
      </c>
      <c r="C120" s="10" t="s">
        <v>721</v>
      </c>
      <c r="D120" s="123"/>
      <c r="E120" s="123">
        <v>1967</v>
      </c>
      <c r="F120" s="123" t="s">
        <v>420</v>
      </c>
      <c r="G120" s="123">
        <v>2</v>
      </c>
      <c r="H120" s="123">
        <v>2</v>
      </c>
      <c r="I120" s="124">
        <v>720</v>
      </c>
      <c r="J120" s="124">
        <v>475</v>
      </c>
      <c r="K120" s="125">
        <v>20</v>
      </c>
      <c r="L120" s="123" t="s">
        <v>418</v>
      </c>
      <c r="M120" s="123" t="s">
        <v>425</v>
      </c>
      <c r="N120" s="126" t="s">
        <v>426</v>
      </c>
      <c r="O120" s="128">
        <v>19416485.560000002</v>
      </c>
      <c r="P120" s="128">
        <v>0</v>
      </c>
      <c r="Q120" s="128">
        <v>0</v>
      </c>
      <c r="R120" s="128">
        <f>O120</f>
        <v>19416485.560000002</v>
      </c>
      <c r="S120" s="128">
        <f>O120-P120-R120-Q120</f>
        <v>0</v>
      </c>
      <c r="T120" s="128">
        <f t="shared" si="47"/>
        <v>26967.34105555556</v>
      </c>
      <c r="U120" s="128">
        <v>26967.34</v>
      </c>
      <c r="V120" s="129"/>
      <c r="CR120" s="1"/>
    </row>
    <row r="121" spans="1:96" ht="35.25" x14ac:dyDescent="0.5">
      <c r="B121" s="122" t="s">
        <v>693</v>
      </c>
      <c r="C121" s="122"/>
      <c r="D121" s="123" t="s">
        <v>423</v>
      </c>
      <c r="E121" s="123" t="s">
        <v>423</v>
      </c>
      <c r="F121" s="123" t="s">
        <v>423</v>
      </c>
      <c r="G121" s="123" t="s">
        <v>423</v>
      </c>
      <c r="H121" s="123" t="s">
        <v>423</v>
      </c>
      <c r="I121" s="124">
        <f>SUM(I122:I125)</f>
        <v>13392.179999999998</v>
      </c>
      <c r="J121" s="124">
        <f t="shared" ref="J121:K121" si="50">SUM(J122:J125)</f>
        <v>8047.58</v>
      </c>
      <c r="K121" s="125">
        <f t="shared" si="50"/>
        <v>408</v>
      </c>
      <c r="L121" s="123" t="s">
        <v>423</v>
      </c>
      <c r="M121" s="123" t="s">
        <v>423</v>
      </c>
      <c r="N121" s="126" t="s">
        <v>423</v>
      </c>
      <c r="O121" s="128">
        <f>SUM(O122:O125)</f>
        <v>55312672.939999998</v>
      </c>
      <c r="P121" s="128">
        <f t="shared" ref="P121:S121" si="51">SUM(P122:P125)</f>
        <v>0</v>
      </c>
      <c r="Q121" s="128">
        <f t="shared" si="51"/>
        <v>0</v>
      </c>
      <c r="R121" s="128">
        <f t="shared" si="51"/>
        <v>0</v>
      </c>
      <c r="S121" s="128">
        <f t="shared" si="51"/>
        <v>55312672.939999998</v>
      </c>
      <c r="T121" s="128">
        <f t="shared" si="47"/>
        <v>4130.2217368643496</v>
      </c>
      <c r="U121" s="128">
        <f>MAX(U122:U125)</f>
        <v>12676.83</v>
      </c>
      <c r="V121" s="129"/>
      <c r="CR121" s="1"/>
    </row>
    <row r="122" spans="1:96" ht="35.25" x14ac:dyDescent="0.5">
      <c r="A122">
        <v>1</v>
      </c>
      <c r="B122" s="131">
        <f>SUBTOTAL(9,$A$16:A122)</f>
        <v>93</v>
      </c>
      <c r="C122" s="10" t="s">
        <v>184</v>
      </c>
      <c r="D122" s="123"/>
      <c r="E122" s="123">
        <v>1981</v>
      </c>
      <c r="F122" s="123" t="s">
        <v>421</v>
      </c>
      <c r="G122" s="123">
        <v>5</v>
      </c>
      <c r="H122" s="123" t="s">
        <v>322</v>
      </c>
      <c r="I122" s="124">
        <v>3997.88</v>
      </c>
      <c r="J122" s="124">
        <v>3051.48</v>
      </c>
      <c r="K122" s="125">
        <v>156</v>
      </c>
      <c r="L122" s="123" t="s">
        <v>418</v>
      </c>
      <c r="M122" s="123" t="s">
        <v>424</v>
      </c>
      <c r="N122" s="126" t="s">
        <v>447</v>
      </c>
      <c r="O122" s="128">
        <v>11643636.340000002</v>
      </c>
      <c r="P122" s="128">
        <v>0</v>
      </c>
      <c r="Q122" s="128">
        <v>0</v>
      </c>
      <c r="R122" s="128">
        <v>0</v>
      </c>
      <c r="S122" s="128">
        <f>O122-P122-Q122-R122</f>
        <v>11643636.340000002</v>
      </c>
      <c r="T122" s="128">
        <f t="shared" si="47"/>
        <v>2912.4526849230097</v>
      </c>
      <c r="U122" s="128">
        <v>2912.45</v>
      </c>
      <c r="V122" s="129"/>
      <c r="CR122" s="1"/>
    </row>
    <row r="123" spans="1:96" ht="35.25" x14ac:dyDescent="0.5">
      <c r="A123">
        <v>1</v>
      </c>
      <c r="B123" s="131">
        <f>SUBTOTAL(9,$A$16:A123)</f>
        <v>94</v>
      </c>
      <c r="C123" s="10" t="s">
        <v>185</v>
      </c>
      <c r="D123" s="123"/>
      <c r="E123" s="123">
        <v>1973</v>
      </c>
      <c r="F123" s="123" t="s">
        <v>420</v>
      </c>
      <c r="G123" s="123">
        <v>5</v>
      </c>
      <c r="H123" s="123" t="s">
        <v>324</v>
      </c>
      <c r="I123" s="124">
        <v>7452.9</v>
      </c>
      <c r="J123" s="124">
        <v>3163.8</v>
      </c>
      <c r="K123" s="125">
        <v>186</v>
      </c>
      <c r="L123" s="123" t="s">
        <v>418</v>
      </c>
      <c r="M123" s="123" t="s">
        <v>424</v>
      </c>
      <c r="N123" s="126" t="s">
        <v>448</v>
      </c>
      <c r="O123" s="128">
        <v>21022108.559999995</v>
      </c>
      <c r="P123" s="128">
        <v>0</v>
      </c>
      <c r="Q123" s="128">
        <v>0</v>
      </c>
      <c r="R123" s="128">
        <v>0</v>
      </c>
      <c r="S123" s="128">
        <f>O123-P123-Q123-R123</f>
        <v>21022108.559999995</v>
      </c>
      <c r="T123" s="128">
        <f t="shared" si="47"/>
        <v>2820.6615626132102</v>
      </c>
      <c r="U123" s="128">
        <v>2873.73</v>
      </c>
      <c r="V123" s="129"/>
      <c r="CR123" s="1"/>
    </row>
    <row r="124" spans="1:96" ht="35.25" x14ac:dyDescent="0.5">
      <c r="A124">
        <v>1</v>
      </c>
      <c r="B124" s="131">
        <f>SUBTOTAL(9,$A$16:A124)</f>
        <v>95</v>
      </c>
      <c r="C124" s="10" t="s">
        <v>597</v>
      </c>
      <c r="D124" s="123"/>
      <c r="E124" s="123">
        <v>1971</v>
      </c>
      <c r="F124" s="123" t="s">
        <v>420</v>
      </c>
      <c r="G124" s="123">
        <v>2</v>
      </c>
      <c r="H124" s="123">
        <v>2</v>
      </c>
      <c r="I124" s="124">
        <v>726.3</v>
      </c>
      <c r="J124" s="124">
        <v>716.7</v>
      </c>
      <c r="K124" s="125">
        <v>42</v>
      </c>
      <c r="L124" s="123" t="s">
        <v>418</v>
      </c>
      <c r="M124" s="123" t="s">
        <v>425</v>
      </c>
      <c r="N124" s="126" t="s">
        <v>426</v>
      </c>
      <c r="O124" s="128">
        <v>7527766.6299999999</v>
      </c>
      <c r="P124" s="128">
        <v>0</v>
      </c>
      <c r="Q124" s="128">
        <v>0</v>
      </c>
      <c r="R124" s="128">
        <v>0</v>
      </c>
      <c r="S124" s="128">
        <f>O124-P124-Q124-R124</f>
        <v>7527766.6299999999</v>
      </c>
      <c r="T124" s="128">
        <f t="shared" si="47"/>
        <v>10364.541690761394</v>
      </c>
      <c r="U124" s="128">
        <v>11745.44</v>
      </c>
      <c r="V124" s="129"/>
      <c r="CR124" s="1"/>
    </row>
    <row r="125" spans="1:96" ht="35.25" x14ac:dyDescent="0.5">
      <c r="A125">
        <v>1</v>
      </c>
      <c r="B125" s="131">
        <f>SUBTOTAL(9,$A$16:A125)</f>
        <v>96</v>
      </c>
      <c r="C125" s="10" t="s">
        <v>186</v>
      </c>
      <c r="D125" s="123"/>
      <c r="E125" s="123">
        <v>1980</v>
      </c>
      <c r="F125" s="123" t="s">
        <v>420</v>
      </c>
      <c r="G125" s="123">
        <v>2</v>
      </c>
      <c r="H125" s="123" t="s">
        <v>322</v>
      </c>
      <c r="I125" s="124">
        <v>1215.0999999999999</v>
      </c>
      <c r="J125" s="124">
        <v>1115.5999999999999</v>
      </c>
      <c r="K125" s="125">
        <v>24</v>
      </c>
      <c r="L125" s="123" t="s">
        <v>418</v>
      </c>
      <c r="M125" s="123" t="s">
        <v>425</v>
      </c>
      <c r="N125" s="126" t="s">
        <v>426</v>
      </c>
      <c r="O125" s="128">
        <v>15119161.41</v>
      </c>
      <c r="P125" s="128">
        <v>0</v>
      </c>
      <c r="Q125" s="128">
        <v>0</v>
      </c>
      <c r="R125" s="128">
        <v>0</v>
      </c>
      <c r="S125" s="128">
        <f>O125-P125-Q125-R125</f>
        <v>15119161.41</v>
      </c>
      <c r="T125" s="128">
        <f t="shared" si="47"/>
        <v>12442.7301538968</v>
      </c>
      <c r="U125" s="128">
        <v>12676.83</v>
      </c>
      <c r="V125" s="129"/>
      <c r="CR125" s="1"/>
    </row>
    <row r="126" spans="1:96" ht="35.25" x14ac:dyDescent="0.5">
      <c r="B126" s="122" t="s">
        <v>700</v>
      </c>
      <c r="C126" s="122"/>
      <c r="D126" s="123" t="s">
        <v>423</v>
      </c>
      <c r="E126" s="123" t="s">
        <v>423</v>
      </c>
      <c r="F126" s="123" t="s">
        <v>423</v>
      </c>
      <c r="G126" s="123" t="s">
        <v>423</v>
      </c>
      <c r="H126" s="123" t="s">
        <v>423</v>
      </c>
      <c r="I126" s="124">
        <f>SUM(I127:I130)</f>
        <v>4344.6000000000004</v>
      </c>
      <c r="J126" s="124">
        <f t="shared" ref="J126:K126" si="52">SUM(J127:J130)</f>
        <v>3452.9</v>
      </c>
      <c r="K126" s="125">
        <f t="shared" si="52"/>
        <v>110</v>
      </c>
      <c r="L126" s="123" t="s">
        <v>423</v>
      </c>
      <c r="M126" s="123" t="s">
        <v>423</v>
      </c>
      <c r="N126" s="126" t="s">
        <v>423</v>
      </c>
      <c r="O126" s="128">
        <f>SUM(O127:O130)</f>
        <v>36548320.950000003</v>
      </c>
      <c r="P126" s="128">
        <f t="shared" ref="P126:S126" si="53">SUM(P127:P130)</f>
        <v>0</v>
      </c>
      <c r="Q126" s="128">
        <f t="shared" si="53"/>
        <v>0</v>
      </c>
      <c r="R126" s="128">
        <f t="shared" si="53"/>
        <v>0</v>
      </c>
      <c r="S126" s="128">
        <f t="shared" si="53"/>
        <v>36548320.950000003</v>
      </c>
      <c r="T126" s="128">
        <f>O126/I126</f>
        <v>8412.3557864935774</v>
      </c>
      <c r="U126" s="128">
        <f>MAX(U127:U130)</f>
        <v>17014.12</v>
      </c>
      <c r="V126" s="129"/>
      <c r="CR126" s="1"/>
    </row>
    <row r="127" spans="1:96" ht="35.25" x14ac:dyDescent="0.5">
      <c r="A127">
        <v>1</v>
      </c>
      <c r="B127" s="131">
        <f>SUBTOTAL(9,$A$16:A127)</f>
        <v>97</v>
      </c>
      <c r="C127" s="10" t="s">
        <v>596</v>
      </c>
      <c r="D127" s="123"/>
      <c r="E127" s="123">
        <v>1980</v>
      </c>
      <c r="F127" s="123" t="s">
        <v>420</v>
      </c>
      <c r="G127" s="123">
        <v>2</v>
      </c>
      <c r="H127" s="123">
        <v>3</v>
      </c>
      <c r="I127" s="124">
        <v>977.2</v>
      </c>
      <c r="J127" s="124">
        <v>892.7</v>
      </c>
      <c r="K127" s="125">
        <v>34</v>
      </c>
      <c r="L127" s="123" t="s">
        <v>418</v>
      </c>
      <c r="M127" s="123" t="s">
        <v>424</v>
      </c>
      <c r="N127" s="126" t="s">
        <v>434</v>
      </c>
      <c r="O127" s="128">
        <v>11569348.5</v>
      </c>
      <c r="P127" s="128">
        <v>0</v>
      </c>
      <c r="Q127" s="128">
        <v>0</v>
      </c>
      <c r="R127" s="128">
        <v>0</v>
      </c>
      <c r="S127" s="128">
        <f>O127-P127-Q127-R127</f>
        <v>11569348.5</v>
      </c>
      <c r="T127" s="128">
        <f>O127/I127</f>
        <v>11839.284179287761</v>
      </c>
      <c r="U127" s="128">
        <v>17014.12</v>
      </c>
      <c r="V127" s="129"/>
      <c r="CR127" s="1"/>
    </row>
    <row r="128" spans="1:96" ht="35.25" x14ac:dyDescent="0.5">
      <c r="A128">
        <v>1</v>
      </c>
      <c r="B128" s="131">
        <f>SUBTOTAL(9,$A$16:A128)</f>
        <v>98</v>
      </c>
      <c r="C128" s="10" t="s">
        <v>199</v>
      </c>
      <c r="D128" s="123"/>
      <c r="E128" s="123">
        <v>1964</v>
      </c>
      <c r="F128" s="123" t="s">
        <v>420</v>
      </c>
      <c r="G128" s="123">
        <v>2</v>
      </c>
      <c r="H128" s="123" t="s">
        <v>320</v>
      </c>
      <c r="I128" s="124">
        <v>419.3</v>
      </c>
      <c r="J128" s="124">
        <v>312.3</v>
      </c>
      <c r="K128" s="125">
        <v>8</v>
      </c>
      <c r="L128" s="123" t="s">
        <v>418</v>
      </c>
      <c r="M128" s="123" t="s">
        <v>424</v>
      </c>
      <c r="N128" s="126" t="s">
        <v>434</v>
      </c>
      <c r="O128" s="128">
        <v>4087632.2199999997</v>
      </c>
      <c r="P128" s="128">
        <v>0</v>
      </c>
      <c r="Q128" s="128">
        <v>0</v>
      </c>
      <c r="R128" s="128">
        <v>0</v>
      </c>
      <c r="S128" s="128">
        <f>O128-P128-Q128-R128</f>
        <v>4087632.2199999997</v>
      </c>
      <c r="T128" s="128">
        <f t="shared" si="47"/>
        <v>9748.7055091819693</v>
      </c>
      <c r="U128" s="128">
        <v>9932.1200000000008</v>
      </c>
      <c r="V128" s="129"/>
      <c r="CR128" s="1"/>
    </row>
    <row r="129" spans="1:96" ht="35.25" x14ac:dyDescent="0.5">
      <c r="A129">
        <v>1</v>
      </c>
      <c r="B129" s="131">
        <f>SUBTOTAL(9,$A$16:A129)</f>
        <v>99</v>
      </c>
      <c r="C129" s="10" t="s">
        <v>200</v>
      </c>
      <c r="D129" s="123"/>
      <c r="E129" s="123">
        <v>1990</v>
      </c>
      <c r="F129" s="123" t="s">
        <v>420</v>
      </c>
      <c r="G129" s="123">
        <v>3</v>
      </c>
      <c r="H129" s="123" t="s">
        <v>327</v>
      </c>
      <c r="I129" s="124">
        <v>1842.5</v>
      </c>
      <c r="J129" s="124">
        <v>1518.5</v>
      </c>
      <c r="K129" s="125">
        <v>26</v>
      </c>
      <c r="L129" s="123" t="s">
        <v>418</v>
      </c>
      <c r="M129" s="123" t="s">
        <v>424</v>
      </c>
      <c r="N129" s="126" t="s">
        <v>434</v>
      </c>
      <c r="O129" s="128">
        <v>13646598.25</v>
      </c>
      <c r="P129" s="128">
        <v>0</v>
      </c>
      <c r="Q129" s="128">
        <v>0</v>
      </c>
      <c r="R129" s="128">
        <v>0</v>
      </c>
      <c r="S129" s="128">
        <f>O129-P129-Q129-R129</f>
        <v>13646598.25</v>
      </c>
      <c r="T129" s="128">
        <f t="shared" si="47"/>
        <v>7406.5662143826321</v>
      </c>
      <c r="U129" s="128">
        <v>7545.92</v>
      </c>
      <c r="V129" s="129"/>
      <c r="CR129" s="1"/>
    </row>
    <row r="130" spans="1:96" ht="35.25" x14ac:dyDescent="0.5">
      <c r="A130">
        <v>1</v>
      </c>
      <c r="B130" s="131">
        <f>SUBTOTAL(9,$A$16:A130)</f>
        <v>100</v>
      </c>
      <c r="C130" s="10" t="s">
        <v>201</v>
      </c>
      <c r="D130" s="123"/>
      <c r="E130" s="123">
        <v>1975</v>
      </c>
      <c r="F130" s="123" t="s">
        <v>420</v>
      </c>
      <c r="G130" s="123">
        <v>2</v>
      </c>
      <c r="H130" s="123" t="s">
        <v>320</v>
      </c>
      <c r="I130" s="124">
        <v>1105.5999999999999</v>
      </c>
      <c r="J130" s="124">
        <v>729.4</v>
      </c>
      <c r="K130" s="125">
        <v>42</v>
      </c>
      <c r="L130" s="123" t="s">
        <v>418</v>
      </c>
      <c r="M130" s="123" t="s">
        <v>424</v>
      </c>
      <c r="N130" s="126" t="s">
        <v>451</v>
      </c>
      <c r="O130" s="128">
        <v>7244741.9800000004</v>
      </c>
      <c r="P130" s="128">
        <v>0</v>
      </c>
      <c r="Q130" s="128">
        <v>0</v>
      </c>
      <c r="R130" s="128">
        <v>0</v>
      </c>
      <c r="S130" s="128">
        <f>O130-P130-Q130-R130</f>
        <v>7244741.9800000004</v>
      </c>
      <c r="T130" s="128">
        <f t="shared" si="47"/>
        <v>6552.7695188133148</v>
      </c>
      <c r="U130" s="128">
        <v>6552.77</v>
      </c>
      <c r="V130" s="129"/>
      <c r="CR130" s="1"/>
    </row>
    <row r="131" spans="1:96" ht="35.25" x14ac:dyDescent="0.5">
      <c r="B131" s="122" t="s">
        <v>669</v>
      </c>
      <c r="C131" s="122"/>
      <c r="D131" s="123" t="s">
        <v>423</v>
      </c>
      <c r="E131" s="123" t="s">
        <v>423</v>
      </c>
      <c r="F131" s="123" t="s">
        <v>423</v>
      </c>
      <c r="G131" s="123" t="s">
        <v>423</v>
      </c>
      <c r="H131" s="123" t="s">
        <v>423</v>
      </c>
      <c r="I131" s="124">
        <f>I132+I133+I134+I135+I136</f>
        <v>2717.8</v>
      </c>
      <c r="J131" s="124">
        <f t="shared" ref="J131:K131" si="54">J132+J133+J134+J135+J136</f>
        <v>2408</v>
      </c>
      <c r="K131" s="125">
        <f t="shared" si="54"/>
        <v>118</v>
      </c>
      <c r="L131" s="123" t="s">
        <v>423</v>
      </c>
      <c r="M131" s="123" t="s">
        <v>423</v>
      </c>
      <c r="N131" s="126" t="s">
        <v>423</v>
      </c>
      <c r="O131" s="127">
        <f>O132+O133+O134+O135+O136</f>
        <v>29943810.810000002</v>
      </c>
      <c r="P131" s="127">
        <f t="shared" ref="P131:S131" si="55">P132+P133+P134+P135+P136</f>
        <v>0</v>
      </c>
      <c r="Q131" s="127">
        <f t="shared" si="55"/>
        <v>0</v>
      </c>
      <c r="R131" s="127">
        <f t="shared" si="55"/>
        <v>0</v>
      </c>
      <c r="S131" s="127">
        <f t="shared" si="55"/>
        <v>29943810.810000002</v>
      </c>
      <c r="T131" s="128">
        <f t="shared" si="47"/>
        <v>11017.665321215689</v>
      </c>
      <c r="U131" s="128">
        <f>MAX(U132:U136)</f>
        <v>15124.39</v>
      </c>
      <c r="V131" s="129"/>
      <c r="CR131" s="1"/>
    </row>
    <row r="132" spans="1:96" ht="35.25" x14ac:dyDescent="0.5">
      <c r="A132">
        <v>1</v>
      </c>
      <c r="B132" s="131">
        <f>SUBTOTAL(9,$A$16:A132)</f>
        <v>101</v>
      </c>
      <c r="C132" s="10" t="s">
        <v>209</v>
      </c>
      <c r="D132" s="123"/>
      <c r="E132" s="123">
        <v>1956</v>
      </c>
      <c r="F132" s="123" t="s">
        <v>420</v>
      </c>
      <c r="G132" s="123">
        <v>2</v>
      </c>
      <c r="H132" s="123">
        <v>2</v>
      </c>
      <c r="I132" s="124">
        <v>1010.2</v>
      </c>
      <c r="J132" s="124">
        <v>894.8</v>
      </c>
      <c r="K132" s="125">
        <v>33</v>
      </c>
      <c r="L132" s="123" t="s">
        <v>418</v>
      </c>
      <c r="M132" s="123" t="s">
        <v>425</v>
      </c>
      <c r="N132" s="126" t="s">
        <v>426</v>
      </c>
      <c r="O132" s="128">
        <v>9262564.3399999999</v>
      </c>
      <c r="P132" s="128">
        <v>0</v>
      </c>
      <c r="Q132" s="128">
        <v>0</v>
      </c>
      <c r="R132" s="128">
        <v>0</v>
      </c>
      <c r="S132" s="128">
        <f>O132-P132-Q132-R132</f>
        <v>9262564.3399999999</v>
      </c>
      <c r="T132" s="128">
        <f t="shared" si="47"/>
        <v>9169.0401306671938</v>
      </c>
      <c r="U132" s="128">
        <v>13116.89</v>
      </c>
      <c r="V132" s="129"/>
      <c r="CR132" s="1"/>
    </row>
    <row r="133" spans="1:96" ht="35.25" x14ac:dyDescent="0.5">
      <c r="A133">
        <v>1</v>
      </c>
      <c r="B133" s="131">
        <f>SUBTOTAL(9,$A$16:A133)</f>
        <v>102</v>
      </c>
      <c r="C133" s="10" t="s">
        <v>210</v>
      </c>
      <c r="D133" s="123"/>
      <c r="E133" s="123">
        <v>1962</v>
      </c>
      <c r="F133" s="123" t="s">
        <v>420</v>
      </c>
      <c r="G133" s="123">
        <v>2</v>
      </c>
      <c r="H133" s="123">
        <v>1</v>
      </c>
      <c r="I133" s="124">
        <v>250.4</v>
      </c>
      <c r="J133" s="124">
        <v>151.19999999999999</v>
      </c>
      <c r="K133" s="125">
        <v>21</v>
      </c>
      <c r="L133" s="123" t="s">
        <v>418</v>
      </c>
      <c r="M133" s="123" t="s">
        <v>425</v>
      </c>
      <c r="N133" s="126" t="s">
        <v>426</v>
      </c>
      <c r="O133" s="128">
        <v>2404045.5299999998</v>
      </c>
      <c r="P133" s="128">
        <v>0</v>
      </c>
      <c r="Q133" s="128">
        <v>0</v>
      </c>
      <c r="R133" s="128">
        <v>0</v>
      </c>
      <c r="S133" s="128">
        <f>O133-P133-Q133-R133</f>
        <v>2404045.5299999998</v>
      </c>
      <c r="T133" s="128">
        <f t="shared" si="47"/>
        <v>9600.8208067092637</v>
      </c>
      <c r="U133" s="128">
        <v>13839.01</v>
      </c>
      <c r="V133" s="129"/>
      <c r="CR133" s="1"/>
    </row>
    <row r="134" spans="1:96" ht="35.25" x14ac:dyDescent="0.5">
      <c r="A134">
        <v>1</v>
      </c>
      <c r="B134" s="131">
        <f>SUBTOTAL(9,$A$16:A134)</f>
        <v>103</v>
      </c>
      <c r="C134" s="132" t="s">
        <v>606</v>
      </c>
      <c r="D134" s="133"/>
      <c r="E134" s="123">
        <v>1950</v>
      </c>
      <c r="F134" s="123" t="s">
        <v>420</v>
      </c>
      <c r="G134" s="123">
        <v>2</v>
      </c>
      <c r="H134" s="123" t="s">
        <v>320</v>
      </c>
      <c r="I134" s="124">
        <v>389.5</v>
      </c>
      <c r="J134" s="124">
        <v>350.2</v>
      </c>
      <c r="K134" s="125">
        <v>18</v>
      </c>
      <c r="L134" s="123" t="s">
        <v>418</v>
      </c>
      <c r="M134" s="123" t="s">
        <v>425</v>
      </c>
      <c r="N134" s="126"/>
      <c r="O134" s="134">
        <v>3403732.66</v>
      </c>
      <c r="P134" s="134">
        <v>0</v>
      </c>
      <c r="Q134" s="134">
        <v>0</v>
      </c>
      <c r="R134" s="134">
        <v>0</v>
      </c>
      <c r="S134" s="134">
        <f>O134-Q134-R134</f>
        <v>3403732.66</v>
      </c>
      <c r="T134" s="135">
        <f t="shared" si="47"/>
        <v>8738.7231322207954</v>
      </c>
      <c r="U134" s="134">
        <v>9777.5400000000009</v>
      </c>
      <c r="V134" s="76">
        <v>0</v>
      </c>
      <c r="W134" s="76">
        <v>0</v>
      </c>
      <c r="X134" s="76">
        <v>0</v>
      </c>
      <c r="Y134" s="76">
        <v>0</v>
      </c>
      <c r="Z134" s="76">
        <v>0</v>
      </c>
      <c r="AA134" s="142"/>
      <c r="AB134" s="1">
        <f t="shared" ref="AB134" si="56">O134-P134-Q134-R134-S134</f>
        <v>0</v>
      </c>
      <c r="AD134" s="81">
        <v>0</v>
      </c>
      <c r="AE134">
        <f t="shared" ref="AE134" si="57">AD134*8294.83/I134</f>
        <v>0</v>
      </c>
      <c r="BU134" s="1">
        <f t="shared" ref="BU134" si="58">U134-T134</f>
        <v>1038.8168677792055</v>
      </c>
      <c r="CN134" s="1"/>
      <c r="CR134" s="1"/>
    </row>
    <row r="135" spans="1:96" ht="35.25" x14ac:dyDescent="0.5">
      <c r="A135">
        <v>1</v>
      </c>
      <c r="B135" s="131">
        <f>SUBTOTAL(9,$A$16:A135)</f>
        <v>104</v>
      </c>
      <c r="C135" s="10" t="s">
        <v>214</v>
      </c>
      <c r="D135" s="123"/>
      <c r="E135" s="123">
        <v>1964</v>
      </c>
      <c r="F135" s="123" t="s">
        <v>420</v>
      </c>
      <c r="G135" s="123">
        <v>2</v>
      </c>
      <c r="H135" s="123" t="s">
        <v>320</v>
      </c>
      <c r="I135" s="124">
        <v>406.3</v>
      </c>
      <c r="J135" s="124">
        <v>381.2</v>
      </c>
      <c r="K135" s="125">
        <v>15</v>
      </c>
      <c r="L135" s="123" t="s">
        <v>418</v>
      </c>
      <c r="M135" s="123" t="s">
        <v>425</v>
      </c>
      <c r="N135" s="126" t="s">
        <v>426</v>
      </c>
      <c r="O135" s="128">
        <v>5014331.45</v>
      </c>
      <c r="P135" s="128">
        <v>0</v>
      </c>
      <c r="Q135" s="128">
        <v>0</v>
      </c>
      <c r="R135" s="128">
        <v>0</v>
      </c>
      <c r="S135" s="128">
        <f t="shared" ref="S135:S136" si="59">O135-P135-Q135-R135</f>
        <v>5014331.45</v>
      </c>
      <c r="T135" s="128">
        <f t="shared" si="47"/>
        <v>12341.450775289195</v>
      </c>
      <c r="U135" s="128">
        <v>12573.65</v>
      </c>
      <c r="V135" s="129"/>
      <c r="CR135" s="1"/>
    </row>
    <row r="136" spans="1:96" ht="35.25" x14ac:dyDescent="0.5">
      <c r="A136">
        <v>1</v>
      </c>
      <c r="B136" s="131">
        <f>SUBTOTAL(9,$A$16:A136)</f>
        <v>105</v>
      </c>
      <c r="C136" s="10" t="s">
        <v>676</v>
      </c>
      <c r="D136" s="123"/>
      <c r="E136" s="123">
        <v>1959</v>
      </c>
      <c r="F136" s="123" t="s">
        <v>420</v>
      </c>
      <c r="G136" s="123">
        <v>2</v>
      </c>
      <c r="H136" s="123">
        <v>2</v>
      </c>
      <c r="I136" s="124">
        <v>661.4</v>
      </c>
      <c r="J136" s="124">
        <v>630.6</v>
      </c>
      <c r="K136" s="125">
        <v>31</v>
      </c>
      <c r="L136" s="123" t="s">
        <v>418</v>
      </c>
      <c r="M136" s="123" t="s">
        <v>425</v>
      </c>
      <c r="N136" s="126" t="s">
        <v>426</v>
      </c>
      <c r="O136" s="128">
        <v>9859136.8300000001</v>
      </c>
      <c r="P136" s="128">
        <v>0</v>
      </c>
      <c r="Q136" s="128">
        <v>0</v>
      </c>
      <c r="R136" s="128">
        <v>0</v>
      </c>
      <c r="S136" s="128">
        <f t="shared" si="59"/>
        <v>9859136.8300000001</v>
      </c>
      <c r="T136" s="128">
        <f t="shared" si="47"/>
        <v>14906.466328999093</v>
      </c>
      <c r="U136" s="128">
        <v>15124.39</v>
      </c>
      <c r="V136" s="129"/>
      <c r="CR136" s="1"/>
    </row>
    <row r="137" spans="1:96" ht="35.25" x14ac:dyDescent="0.5">
      <c r="B137" s="122" t="s">
        <v>222</v>
      </c>
      <c r="C137" s="122"/>
      <c r="D137" s="123" t="s">
        <v>423</v>
      </c>
      <c r="E137" s="123" t="s">
        <v>423</v>
      </c>
      <c r="F137" s="123" t="s">
        <v>423</v>
      </c>
      <c r="G137" s="123" t="s">
        <v>423</v>
      </c>
      <c r="H137" s="123" t="s">
        <v>423</v>
      </c>
      <c r="I137" s="124">
        <f>I138+I139+I140</f>
        <v>3941.22</v>
      </c>
      <c r="J137" s="124">
        <f t="shared" ref="J137" si="60">J138+J139+J140</f>
        <v>3075.7000000000003</v>
      </c>
      <c r="K137" s="125">
        <f>K138+K139+K140</f>
        <v>106</v>
      </c>
      <c r="L137" s="123" t="s">
        <v>423</v>
      </c>
      <c r="M137" s="123" t="s">
        <v>423</v>
      </c>
      <c r="N137" s="126" t="s">
        <v>423</v>
      </c>
      <c r="O137" s="128">
        <v>19260578.530000001</v>
      </c>
      <c r="P137" s="128">
        <f t="shared" ref="P137:R137" si="61">P138+P139</f>
        <v>0</v>
      </c>
      <c r="Q137" s="128">
        <f t="shared" si="61"/>
        <v>0</v>
      </c>
      <c r="R137" s="128">
        <f t="shared" si="61"/>
        <v>0</v>
      </c>
      <c r="S137" s="128">
        <f>S138+S139+S140</f>
        <v>19260578.530000001</v>
      </c>
      <c r="T137" s="128">
        <f t="shared" si="47"/>
        <v>4886.9584874734228</v>
      </c>
      <c r="U137" s="128">
        <f>MAX(U138:U139)</f>
        <v>10468.64</v>
      </c>
      <c r="V137" s="129"/>
      <c r="CR137" s="1"/>
    </row>
    <row r="138" spans="1:96" ht="35.25" x14ac:dyDescent="0.5">
      <c r="A138">
        <v>1</v>
      </c>
      <c r="B138" s="131">
        <f>SUBTOTAL(9,$A$16:A138)</f>
        <v>106</v>
      </c>
      <c r="C138" s="10" t="s">
        <v>217</v>
      </c>
      <c r="D138" s="123"/>
      <c r="E138" s="123">
        <v>1998</v>
      </c>
      <c r="F138" s="123" t="s">
        <v>420</v>
      </c>
      <c r="G138" s="123">
        <v>5</v>
      </c>
      <c r="H138" s="123">
        <v>2</v>
      </c>
      <c r="I138" s="124">
        <v>2355.6999999999998</v>
      </c>
      <c r="J138" s="124">
        <v>1809.7</v>
      </c>
      <c r="K138" s="125">
        <v>47</v>
      </c>
      <c r="L138" s="123" t="s">
        <v>418</v>
      </c>
      <c r="M138" s="123" t="s">
        <v>427</v>
      </c>
      <c r="N138" s="126" t="s">
        <v>452</v>
      </c>
      <c r="O138" s="128">
        <v>7570888</v>
      </c>
      <c r="P138" s="128">
        <v>0</v>
      </c>
      <c r="Q138" s="128">
        <v>0</v>
      </c>
      <c r="R138" s="128">
        <v>0</v>
      </c>
      <c r="S138" s="128">
        <f>O138-P138-Q138-R138</f>
        <v>7570888</v>
      </c>
      <c r="T138" s="128">
        <f t="shared" si="47"/>
        <v>3213.8591501464534</v>
      </c>
      <c r="U138" s="128">
        <v>3294.14</v>
      </c>
      <c r="V138" s="129"/>
      <c r="CR138" s="1"/>
    </row>
    <row r="139" spans="1:96" ht="35.25" x14ac:dyDescent="0.5">
      <c r="A139">
        <v>1</v>
      </c>
      <c r="B139" s="131">
        <f>SUBTOTAL(9,$A$16:A139)</f>
        <v>107</v>
      </c>
      <c r="C139" s="10" t="s">
        <v>218</v>
      </c>
      <c r="D139" s="123"/>
      <c r="E139" s="123">
        <v>1982</v>
      </c>
      <c r="F139" s="123" t="s">
        <v>420</v>
      </c>
      <c r="G139" s="123">
        <v>2</v>
      </c>
      <c r="H139" s="123" t="s">
        <v>327</v>
      </c>
      <c r="I139" s="124">
        <v>965</v>
      </c>
      <c r="J139" s="124">
        <v>875.2</v>
      </c>
      <c r="K139" s="125">
        <v>38</v>
      </c>
      <c r="L139" s="123" t="s">
        <v>418</v>
      </c>
      <c r="M139" s="123" t="s">
        <v>425</v>
      </c>
      <c r="N139" s="126" t="s">
        <v>426</v>
      </c>
      <c r="O139" s="128">
        <v>8074067.7999999998</v>
      </c>
      <c r="P139" s="128">
        <v>0</v>
      </c>
      <c r="Q139" s="128">
        <v>0</v>
      </c>
      <c r="R139" s="128">
        <v>0</v>
      </c>
      <c r="S139" s="128">
        <f>O139-P139-Q139-R139</f>
        <v>8074067.7999999998</v>
      </c>
      <c r="T139" s="128">
        <f t="shared" si="47"/>
        <v>8366.9096373057</v>
      </c>
      <c r="U139" s="128">
        <v>10468.64</v>
      </c>
      <c r="V139" s="129"/>
      <c r="CR139" s="1"/>
    </row>
    <row r="140" spans="1:96" ht="35.25" x14ac:dyDescent="0.5">
      <c r="A140">
        <v>1</v>
      </c>
      <c r="B140" s="131">
        <f>SUBTOTAL(9,$A$16:A140)</f>
        <v>108</v>
      </c>
      <c r="C140" s="132" t="s">
        <v>659</v>
      </c>
      <c r="D140" s="133" t="s">
        <v>422</v>
      </c>
      <c r="E140" s="123">
        <v>1962</v>
      </c>
      <c r="F140" s="123" t="s">
        <v>319</v>
      </c>
      <c r="G140" s="123">
        <v>2</v>
      </c>
      <c r="H140" s="123" t="s">
        <v>318</v>
      </c>
      <c r="I140" s="124">
        <v>620.52</v>
      </c>
      <c r="J140" s="124">
        <v>390.8</v>
      </c>
      <c r="K140" s="125">
        <v>21</v>
      </c>
      <c r="L140" s="123" t="s">
        <v>418</v>
      </c>
      <c r="M140" s="123" t="s">
        <v>425</v>
      </c>
      <c r="N140" s="126" t="s">
        <v>426</v>
      </c>
      <c r="O140" s="134">
        <v>3615622.73</v>
      </c>
      <c r="P140" s="134">
        <v>0</v>
      </c>
      <c r="Q140" s="134">
        <v>0</v>
      </c>
      <c r="R140" s="134">
        <v>0</v>
      </c>
      <c r="S140" s="134">
        <f>O140-Q140-R140</f>
        <v>3615622.73</v>
      </c>
      <c r="T140" s="135">
        <f>O140/I140</f>
        <v>5826.762602333527</v>
      </c>
      <c r="U140" s="134">
        <v>6982.324904918456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142"/>
      <c r="AB140" s="1">
        <f>O140-P140-Q140-R140-S140</f>
        <v>0</v>
      </c>
      <c r="AD140" s="81">
        <v>0</v>
      </c>
      <c r="AE140">
        <f>AD140*8294.83/I140</f>
        <v>0</v>
      </c>
      <c r="AH140" t="e">
        <f>VLOOKUP(C140,AI:AJ,2,FALSE)</f>
        <v>#N/A</v>
      </c>
      <c r="BU140" s="1">
        <f>U140-T140</f>
        <v>1155.5623025849291</v>
      </c>
      <c r="BW140" t="e">
        <f>VLOOKUP(C140,BX:BY,2,FALSE)</f>
        <v>#N/A</v>
      </c>
      <c r="CN140" s="1"/>
      <c r="CR140" s="1"/>
    </row>
    <row r="141" spans="1:96" ht="35.25" x14ac:dyDescent="0.5">
      <c r="B141" s="145" t="s">
        <v>697</v>
      </c>
      <c r="C141" s="145"/>
      <c r="D141" s="123" t="s">
        <v>423</v>
      </c>
      <c r="E141" s="123" t="s">
        <v>423</v>
      </c>
      <c r="F141" s="123" t="s">
        <v>423</v>
      </c>
      <c r="G141" s="123" t="s">
        <v>423</v>
      </c>
      <c r="H141" s="123" t="s">
        <v>423</v>
      </c>
      <c r="I141" s="124">
        <f>SUM(I142:I148)</f>
        <v>16270.210000000001</v>
      </c>
      <c r="J141" s="124">
        <f t="shared" ref="J141:K141" si="62">SUM(J142:J148)</f>
        <v>13460.960000000001</v>
      </c>
      <c r="K141" s="125">
        <f t="shared" si="62"/>
        <v>661</v>
      </c>
      <c r="L141" s="123" t="s">
        <v>423</v>
      </c>
      <c r="M141" s="123" t="s">
        <v>423</v>
      </c>
      <c r="N141" s="126" t="s">
        <v>423</v>
      </c>
      <c r="O141" s="127">
        <f>SUM(O142:O148)</f>
        <v>76637550.150000006</v>
      </c>
      <c r="P141" s="127">
        <f t="shared" ref="P141:S141" si="63">SUM(P142:P148)</f>
        <v>0</v>
      </c>
      <c r="Q141" s="127">
        <f t="shared" si="63"/>
        <v>0</v>
      </c>
      <c r="R141" s="127">
        <f t="shared" si="63"/>
        <v>0</v>
      </c>
      <c r="S141" s="127">
        <f t="shared" si="63"/>
        <v>76637550.150000006</v>
      </c>
      <c r="T141" s="128">
        <f t="shared" si="47"/>
        <v>4710.2987699605601</v>
      </c>
      <c r="U141" s="128">
        <f>MAX(U142:U148)</f>
        <v>16721.310000000001</v>
      </c>
      <c r="V141" s="129"/>
      <c r="CR141" s="1"/>
    </row>
    <row r="142" spans="1:96" ht="35.25" x14ac:dyDescent="0.5">
      <c r="A142">
        <v>1</v>
      </c>
      <c r="B142" s="131">
        <f>SUBTOTAL(9,$A$16:A142)</f>
        <v>109</v>
      </c>
      <c r="C142" s="10" t="s">
        <v>273</v>
      </c>
      <c r="D142" s="123"/>
      <c r="E142" s="123">
        <v>1967</v>
      </c>
      <c r="F142" s="123" t="s">
        <v>420</v>
      </c>
      <c r="G142" s="123">
        <v>2</v>
      </c>
      <c r="H142" s="123" t="s">
        <v>320</v>
      </c>
      <c r="I142" s="124">
        <v>658.1</v>
      </c>
      <c r="J142" s="124">
        <v>608.9</v>
      </c>
      <c r="K142" s="125">
        <v>38</v>
      </c>
      <c r="L142" s="123" t="s">
        <v>418</v>
      </c>
      <c r="M142" s="123" t="s">
        <v>425</v>
      </c>
      <c r="N142" s="126" t="s">
        <v>426</v>
      </c>
      <c r="O142" s="128">
        <v>6091733.4900000002</v>
      </c>
      <c r="P142" s="128">
        <v>0</v>
      </c>
      <c r="Q142" s="128">
        <v>0</v>
      </c>
      <c r="R142" s="128">
        <v>0</v>
      </c>
      <c r="S142" s="128">
        <f>O142-P142-Q142-R142</f>
        <v>6091733.4900000002</v>
      </c>
      <c r="T142" s="128">
        <f t="shared" si="47"/>
        <v>9256.5468621790005</v>
      </c>
      <c r="U142" s="128">
        <v>12933.35</v>
      </c>
      <c r="V142" s="129"/>
      <c r="CR142" s="1"/>
    </row>
    <row r="143" spans="1:96" ht="35.25" x14ac:dyDescent="0.5">
      <c r="A143">
        <v>1</v>
      </c>
      <c r="B143" s="131">
        <f>SUBTOTAL(9,$A$16:A143)</f>
        <v>110</v>
      </c>
      <c r="C143" s="10" t="s">
        <v>274</v>
      </c>
      <c r="D143" s="123"/>
      <c r="E143" s="123">
        <v>1973</v>
      </c>
      <c r="F143" s="123" t="s">
        <v>420</v>
      </c>
      <c r="G143" s="123">
        <v>2</v>
      </c>
      <c r="H143" s="123" t="s">
        <v>320</v>
      </c>
      <c r="I143" s="124">
        <v>715.4</v>
      </c>
      <c r="J143" s="124">
        <v>466.6</v>
      </c>
      <c r="K143" s="125">
        <v>42</v>
      </c>
      <c r="L143" s="123" t="s">
        <v>418</v>
      </c>
      <c r="M143" s="123" t="s">
        <v>424</v>
      </c>
      <c r="N143" s="126" t="s">
        <v>466</v>
      </c>
      <c r="O143" s="128">
        <v>9457717.290000001</v>
      </c>
      <c r="P143" s="128">
        <v>0</v>
      </c>
      <c r="Q143" s="128">
        <v>0</v>
      </c>
      <c r="R143" s="128">
        <v>0</v>
      </c>
      <c r="S143" s="128">
        <f>O143-P143-Q143-R143</f>
        <v>9457717.290000001</v>
      </c>
      <c r="T143" s="128">
        <f t="shared" ref="T143:T172" si="64">O143/I143</f>
        <v>13220.180724070451</v>
      </c>
      <c r="U143" s="128">
        <v>16721.310000000001</v>
      </c>
      <c r="V143" s="129"/>
      <c r="CR143" s="1"/>
    </row>
    <row r="144" spans="1:96" ht="35.25" x14ac:dyDescent="0.5">
      <c r="A144">
        <v>1</v>
      </c>
      <c r="B144" s="131">
        <f>SUBTOTAL(9,$A$16:A144)</f>
        <v>111</v>
      </c>
      <c r="C144" s="10" t="s">
        <v>275</v>
      </c>
      <c r="D144" s="123"/>
      <c r="E144" s="123">
        <v>1989</v>
      </c>
      <c r="F144" s="123" t="s">
        <v>420</v>
      </c>
      <c r="G144" s="123">
        <v>3</v>
      </c>
      <c r="H144" s="123" t="s">
        <v>320</v>
      </c>
      <c r="I144" s="124">
        <v>1604.1</v>
      </c>
      <c r="J144" s="124">
        <v>933.2</v>
      </c>
      <c r="K144" s="125">
        <v>70</v>
      </c>
      <c r="L144" s="123" t="s">
        <v>418</v>
      </c>
      <c r="M144" s="123" t="s">
        <v>424</v>
      </c>
      <c r="N144" s="126" t="s">
        <v>466</v>
      </c>
      <c r="O144" s="128">
        <v>13724415.600000001</v>
      </c>
      <c r="P144" s="128">
        <v>0</v>
      </c>
      <c r="Q144" s="128">
        <v>0</v>
      </c>
      <c r="R144" s="128">
        <v>0</v>
      </c>
      <c r="S144" s="128">
        <f>O144-P144-Q144-R144</f>
        <v>13724415.600000001</v>
      </c>
      <c r="T144" s="128">
        <f t="shared" si="64"/>
        <v>8555.8354217318138</v>
      </c>
      <c r="U144" s="128">
        <v>8716.81</v>
      </c>
      <c r="V144" s="129"/>
      <c r="CR144" s="1"/>
    </row>
    <row r="145" spans="1:96" ht="35.25" x14ac:dyDescent="0.5">
      <c r="A145">
        <v>1</v>
      </c>
      <c r="B145" s="131">
        <f>SUBTOTAL(9,$A$16:A145)</f>
        <v>112</v>
      </c>
      <c r="C145" s="132" t="s">
        <v>663</v>
      </c>
      <c r="D145" s="133"/>
      <c r="E145" s="123">
        <v>1977</v>
      </c>
      <c r="F145" s="123" t="s">
        <v>420</v>
      </c>
      <c r="G145" s="123">
        <v>5</v>
      </c>
      <c r="H145" s="123" t="s">
        <v>322</v>
      </c>
      <c r="I145" s="124">
        <v>3322.4</v>
      </c>
      <c r="J145" s="124">
        <v>3122.4</v>
      </c>
      <c r="K145" s="125">
        <v>134</v>
      </c>
      <c r="L145" s="123" t="s">
        <v>418</v>
      </c>
      <c r="M145" s="123" t="s">
        <v>424</v>
      </c>
      <c r="N145" s="126" t="s">
        <v>666</v>
      </c>
      <c r="O145" s="134">
        <v>12476523.109999999</v>
      </c>
      <c r="P145" s="134">
        <v>0</v>
      </c>
      <c r="Q145" s="134">
        <v>0</v>
      </c>
      <c r="R145" s="134">
        <v>0</v>
      </c>
      <c r="S145" s="134">
        <f t="shared" ref="S145" si="65">O145-Q145-R145</f>
        <v>12476523.109999999</v>
      </c>
      <c r="T145" s="135">
        <f t="shared" si="64"/>
        <v>3755.2742324825426</v>
      </c>
      <c r="U145" s="134">
        <v>4462.2860296773415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142"/>
      <c r="AB145" s="1">
        <f t="shared" ref="AB145" si="66">O145-P145-Q145-R145-S145</f>
        <v>0</v>
      </c>
      <c r="AD145" s="81">
        <v>0</v>
      </c>
      <c r="AE145">
        <f t="shared" ref="AE145" si="67">AD145*8294.83/I145</f>
        <v>0</v>
      </c>
      <c r="BU145" s="1">
        <f t="shared" ref="BU145" si="68">U145-T145</f>
        <v>707.01179719479887</v>
      </c>
      <c r="CN145" s="1"/>
      <c r="CR145" s="1"/>
    </row>
    <row r="146" spans="1:96" ht="35.25" x14ac:dyDescent="0.5">
      <c r="A146">
        <v>1</v>
      </c>
      <c r="B146" s="131">
        <f>SUBTOTAL(9,$A$16:A146)</f>
        <v>113</v>
      </c>
      <c r="C146" s="10" t="s">
        <v>281</v>
      </c>
      <c r="D146" s="123"/>
      <c r="E146" s="123">
        <v>1969</v>
      </c>
      <c r="F146" s="123" t="s">
        <v>420</v>
      </c>
      <c r="G146" s="123">
        <v>4</v>
      </c>
      <c r="H146" s="123" t="s">
        <v>322</v>
      </c>
      <c r="I146" s="124">
        <v>2773.1</v>
      </c>
      <c r="J146" s="124">
        <v>2503.15</v>
      </c>
      <c r="K146" s="125">
        <v>99</v>
      </c>
      <c r="L146" s="123" t="s">
        <v>418</v>
      </c>
      <c r="M146" s="123" t="s">
        <v>424</v>
      </c>
      <c r="N146" s="126" t="s">
        <v>469</v>
      </c>
      <c r="O146" s="128">
        <v>13659292.760000002</v>
      </c>
      <c r="P146" s="128">
        <v>0</v>
      </c>
      <c r="Q146" s="128">
        <v>0</v>
      </c>
      <c r="R146" s="128">
        <v>0</v>
      </c>
      <c r="S146" s="128">
        <f>O146-P146-Q146-R146</f>
        <v>13659292.760000002</v>
      </c>
      <c r="T146" s="128">
        <f>O146/I146</f>
        <v>4925.6401716490582</v>
      </c>
      <c r="U146" s="128">
        <v>5018.3100000000004</v>
      </c>
      <c r="V146" s="129"/>
      <c r="CR146" s="1"/>
    </row>
    <row r="147" spans="1:96" ht="35.25" x14ac:dyDescent="0.5">
      <c r="A147">
        <v>1</v>
      </c>
      <c r="B147" s="131">
        <f>SUBTOTAL(9,$A$16:A147)</f>
        <v>114</v>
      </c>
      <c r="C147" s="132" t="s">
        <v>601</v>
      </c>
      <c r="D147" s="133"/>
      <c r="E147" s="123">
        <v>1979</v>
      </c>
      <c r="F147" s="123" t="s">
        <v>420</v>
      </c>
      <c r="G147" s="123">
        <v>5</v>
      </c>
      <c r="H147" s="123" t="s">
        <v>324</v>
      </c>
      <c r="I147" s="124">
        <v>5523</v>
      </c>
      <c r="J147" s="124">
        <v>4570.6000000000004</v>
      </c>
      <c r="K147" s="125">
        <v>208</v>
      </c>
      <c r="L147" s="123" t="s">
        <v>418</v>
      </c>
      <c r="M147" s="123" t="s">
        <v>424</v>
      </c>
      <c r="N147" s="126" t="s">
        <v>466</v>
      </c>
      <c r="O147" s="134">
        <v>9372377.9000000004</v>
      </c>
      <c r="P147" s="134">
        <v>0</v>
      </c>
      <c r="Q147" s="134">
        <v>0</v>
      </c>
      <c r="R147" s="134">
        <v>0</v>
      </c>
      <c r="S147" s="134">
        <f>O147-Q147-R147</f>
        <v>9372377.9000000004</v>
      </c>
      <c r="T147" s="135">
        <f>O147/I147</f>
        <v>1696.9722795582111</v>
      </c>
      <c r="U147" s="134">
        <v>3051</v>
      </c>
      <c r="V147" s="76">
        <v>0</v>
      </c>
      <c r="W147" s="76">
        <v>0</v>
      </c>
      <c r="X147" s="76">
        <v>0</v>
      </c>
      <c r="Y147" s="76">
        <v>0</v>
      </c>
      <c r="Z147" s="76">
        <v>0</v>
      </c>
      <c r="AA147" s="142"/>
      <c r="AB147" s="1">
        <f>O147-P147-Q147-R147-S147</f>
        <v>0</v>
      </c>
      <c r="AD147" s="81">
        <v>0</v>
      </c>
      <c r="AE147">
        <f>AD147*8294.83/I147</f>
        <v>0</v>
      </c>
      <c r="AH147" t="e">
        <f>VLOOKUP(C147,AI:AJ,2,FALSE)</f>
        <v>#N/A</v>
      </c>
      <c r="BU147" s="1">
        <f>U147-T147</f>
        <v>1354.0277204417889</v>
      </c>
      <c r="BW147" t="e">
        <f>VLOOKUP(C147,BX:BY,2,FALSE)</f>
        <v>#N/A</v>
      </c>
      <c r="CN147" s="1"/>
      <c r="CR147" s="1"/>
    </row>
    <row r="148" spans="1:96" ht="35.25" x14ac:dyDescent="0.5">
      <c r="A148">
        <v>1</v>
      </c>
      <c r="B148" s="131">
        <f>SUBTOTAL(9,$A$16:A156)</f>
        <v>122</v>
      </c>
      <c r="C148" s="10" t="s">
        <v>282</v>
      </c>
      <c r="D148" s="123"/>
      <c r="E148" s="123">
        <v>1953</v>
      </c>
      <c r="F148" s="123" t="s">
        <v>420</v>
      </c>
      <c r="G148" s="123">
        <v>3</v>
      </c>
      <c r="H148" s="123" t="s">
        <v>327</v>
      </c>
      <c r="I148" s="124">
        <v>1674.11</v>
      </c>
      <c r="J148" s="124">
        <v>1256.1099999999999</v>
      </c>
      <c r="K148" s="125">
        <v>70</v>
      </c>
      <c r="L148" s="123" t="s">
        <v>418</v>
      </c>
      <c r="M148" s="123" t="s">
        <v>424</v>
      </c>
      <c r="N148" s="126" t="s">
        <v>491</v>
      </c>
      <c r="O148" s="128">
        <v>11855490</v>
      </c>
      <c r="P148" s="128">
        <v>0</v>
      </c>
      <c r="Q148" s="128">
        <v>0</v>
      </c>
      <c r="R148" s="128">
        <v>0</v>
      </c>
      <c r="S148" s="128">
        <f>O148-P148-Q148-R148</f>
        <v>11855490</v>
      </c>
      <c r="T148" s="128">
        <f>O148/I148</f>
        <v>7081.6672739545193</v>
      </c>
      <c r="U148" s="128">
        <v>8067.36</v>
      </c>
      <c r="V148" s="129"/>
      <c r="CR148" s="1"/>
    </row>
    <row r="149" spans="1:96" ht="35.25" x14ac:dyDescent="0.5">
      <c r="B149" s="145" t="s">
        <v>698</v>
      </c>
      <c r="C149" s="145"/>
      <c r="D149" s="123" t="s">
        <v>423</v>
      </c>
      <c r="E149" s="123" t="s">
        <v>423</v>
      </c>
      <c r="F149" s="123" t="s">
        <v>423</v>
      </c>
      <c r="G149" s="123" t="s">
        <v>423</v>
      </c>
      <c r="H149" s="123" t="s">
        <v>423</v>
      </c>
      <c r="I149" s="124">
        <f>SUM(I150:I156)</f>
        <v>8332.4</v>
      </c>
      <c r="J149" s="124">
        <f t="shared" ref="J149:K149" si="69">SUM(J150:J156)</f>
        <v>6490.3</v>
      </c>
      <c r="K149" s="125">
        <f t="shared" si="69"/>
        <v>339</v>
      </c>
      <c r="L149" s="123" t="s">
        <v>423</v>
      </c>
      <c r="M149" s="123" t="s">
        <v>423</v>
      </c>
      <c r="N149" s="126" t="s">
        <v>423</v>
      </c>
      <c r="O149" s="127">
        <f>SUM(O150:O156)</f>
        <v>53286193.409999996</v>
      </c>
      <c r="P149" s="127">
        <f t="shared" ref="P149:S149" si="70">SUM(P150:P156)</f>
        <v>0</v>
      </c>
      <c r="Q149" s="127">
        <f t="shared" si="70"/>
        <v>0</v>
      </c>
      <c r="R149" s="127">
        <f t="shared" si="70"/>
        <v>0</v>
      </c>
      <c r="S149" s="127">
        <f t="shared" si="70"/>
        <v>53286193.409999996</v>
      </c>
      <c r="T149" s="128">
        <f t="shared" si="64"/>
        <v>6395.0594558590565</v>
      </c>
      <c r="U149" s="128">
        <f>MAX(U150:U156)</f>
        <v>10908.11</v>
      </c>
      <c r="V149" s="129"/>
      <c r="CR149" s="1"/>
    </row>
    <row r="150" spans="1:96" ht="35.25" x14ac:dyDescent="0.5">
      <c r="A150">
        <v>1</v>
      </c>
      <c r="B150" s="131">
        <f>SUBTOTAL(9,$A$16:A150)</f>
        <v>116</v>
      </c>
      <c r="C150" s="10" t="s">
        <v>276</v>
      </c>
      <c r="D150" s="123"/>
      <c r="E150" s="123">
        <v>1966</v>
      </c>
      <c r="F150" s="123" t="s">
        <v>420</v>
      </c>
      <c r="G150" s="123">
        <v>4</v>
      </c>
      <c r="H150" s="123" t="s">
        <v>320</v>
      </c>
      <c r="I150" s="124">
        <v>1252.5</v>
      </c>
      <c r="J150" s="124">
        <v>1252.5</v>
      </c>
      <c r="K150" s="125">
        <v>83</v>
      </c>
      <c r="L150" s="123" t="s">
        <v>418</v>
      </c>
      <c r="M150" s="123" t="s">
        <v>424</v>
      </c>
      <c r="N150" s="126" t="s">
        <v>467</v>
      </c>
      <c r="O150" s="128">
        <v>7380588.1100000003</v>
      </c>
      <c r="P150" s="128">
        <v>0</v>
      </c>
      <c r="Q150" s="128">
        <v>0</v>
      </c>
      <c r="R150" s="128">
        <v>0</v>
      </c>
      <c r="S150" s="128">
        <f>O150-P150-Q150-R150</f>
        <v>7380588.1100000003</v>
      </c>
      <c r="T150" s="128">
        <f t="shared" si="64"/>
        <v>5892.6851177644712</v>
      </c>
      <c r="U150" s="128">
        <v>6003.55</v>
      </c>
      <c r="V150" s="129"/>
      <c r="CR150" s="1"/>
    </row>
    <row r="151" spans="1:96" ht="35.25" x14ac:dyDescent="0.5">
      <c r="A151">
        <v>1</v>
      </c>
      <c r="B151" s="131">
        <f>SUBTOTAL(9,$A$16:A151)</f>
        <v>117</v>
      </c>
      <c r="C151" s="10" t="s">
        <v>628</v>
      </c>
      <c r="D151" s="123"/>
      <c r="E151" s="123">
        <v>1961</v>
      </c>
      <c r="F151" s="123" t="s">
        <v>420</v>
      </c>
      <c r="G151" s="123">
        <v>2</v>
      </c>
      <c r="H151" s="123">
        <v>2</v>
      </c>
      <c r="I151" s="124">
        <v>648.79999999999995</v>
      </c>
      <c r="J151" s="124">
        <v>428.1</v>
      </c>
      <c r="K151" s="125">
        <v>39</v>
      </c>
      <c r="L151" s="123" t="s">
        <v>418</v>
      </c>
      <c r="M151" s="123" t="s">
        <v>424</v>
      </c>
      <c r="N151" s="126" t="s">
        <v>471</v>
      </c>
      <c r="O151" s="128">
        <v>7457082.1899999995</v>
      </c>
      <c r="P151" s="128">
        <v>0</v>
      </c>
      <c r="Q151" s="128">
        <v>0</v>
      </c>
      <c r="R151" s="128">
        <v>0</v>
      </c>
      <c r="S151" s="128">
        <f>O151-P151-Q151-R151</f>
        <v>7457082.1899999995</v>
      </c>
      <c r="T151" s="128">
        <f t="shared" si="64"/>
        <v>11493.653190505549</v>
      </c>
      <c r="U151" s="128">
        <v>10908.11</v>
      </c>
      <c r="V151" s="129"/>
      <c r="CR151" s="1"/>
    </row>
    <row r="152" spans="1:96" ht="35.25" x14ac:dyDescent="0.5">
      <c r="A152">
        <v>1</v>
      </c>
      <c r="B152" s="131">
        <f>SUBTOTAL(9,$A$16:A152)</f>
        <v>118</v>
      </c>
      <c r="C152" s="10" t="s">
        <v>277</v>
      </c>
      <c r="D152" s="123"/>
      <c r="E152" s="123">
        <v>1978</v>
      </c>
      <c r="F152" s="123" t="s">
        <v>421</v>
      </c>
      <c r="G152" s="123">
        <v>4</v>
      </c>
      <c r="H152" s="123" t="s">
        <v>318</v>
      </c>
      <c r="I152" s="124">
        <v>1180.4000000000001</v>
      </c>
      <c r="J152" s="124">
        <v>419.9</v>
      </c>
      <c r="K152" s="125">
        <v>34</v>
      </c>
      <c r="L152" s="123" t="s">
        <v>418</v>
      </c>
      <c r="M152" s="123" t="s">
        <v>425</v>
      </c>
      <c r="N152" s="126" t="s">
        <v>426</v>
      </c>
      <c r="O152" s="128">
        <v>9834855.0000000019</v>
      </c>
      <c r="P152" s="128">
        <v>0</v>
      </c>
      <c r="Q152" s="128">
        <v>0</v>
      </c>
      <c r="R152" s="128">
        <v>0</v>
      </c>
      <c r="S152" s="128">
        <f>O152-P152-Q152-R152</f>
        <v>9834855.0000000019</v>
      </c>
      <c r="T152" s="128">
        <f t="shared" si="64"/>
        <v>8331.7985428668253</v>
      </c>
      <c r="U152" s="128">
        <v>8331.7985428668235</v>
      </c>
      <c r="V152" s="129"/>
      <c r="CR152" s="1"/>
    </row>
    <row r="153" spans="1:96" ht="35.25" x14ac:dyDescent="0.5">
      <c r="A153">
        <v>1</v>
      </c>
      <c r="B153" s="131">
        <f>SUBTOTAL(9,$A$16:A153)</f>
        <v>119</v>
      </c>
      <c r="C153" s="10" t="s">
        <v>278</v>
      </c>
      <c r="D153" s="123"/>
      <c r="E153" s="123">
        <v>1990</v>
      </c>
      <c r="F153" s="123" t="s">
        <v>420</v>
      </c>
      <c r="G153" s="123">
        <v>4</v>
      </c>
      <c r="H153" s="123" t="s">
        <v>327</v>
      </c>
      <c r="I153" s="124">
        <v>2316.1</v>
      </c>
      <c r="J153" s="124">
        <v>2316.1</v>
      </c>
      <c r="K153" s="125">
        <v>104</v>
      </c>
      <c r="L153" s="123" t="s">
        <v>418</v>
      </c>
      <c r="M153" s="123" t="s">
        <v>424</v>
      </c>
      <c r="N153" s="126" t="s">
        <v>468</v>
      </c>
      <c r="O153" s="128">
        <v>12789718.999999998</v>
      </c>
      <c r="P153" s="128">
        <v>0</v>
      </c>
      <c r="Q153" s="128">
        <v>0</v>
      </c>
      <c r="R153" s="128">
        <v>0</v>
      </c>
      <c r="S153" s="128">
        <f>O153-P153-Q153-R153</f>
        <v>12789718.999999998</v>
      </c>
      <c r="T153" s="128">
        <f t="shared" si="64"/>
        <v>5522.0927421095803</v>
      </c>
      <c r="U153" s="128">
        <v>5625.99</v>
      </c>
      <c r="V153" s="129"/>
      <c r="CR153" s="1"/>
    </row>
    <row r="154" spans="1:96" ht="35.25" x14ac:dyDescent="0.5">
      <c r="A154">
        <v>1</v>
      </c>
      <c r="B154" s="131">
        <f>SUBTOTAL(9,$A$16:A154)</f>
        <v>120</v>
      </c>
      <c r="C154" s="10" t="s">
        <v>279</v>
      </c>
      <c r="D154" s="123"/>
      <c r="E154" s="123">
        <v>1984</v>
      </c>
      <c r="F154" s="123" t="s">
        <v>420</v>
      </c>
      <c r="G154" s="123">
        <v>2</v>
      </c>
      <c r="H154" s="123" t="s">
        <v>327</v>
      </c>
      <c r="I154" s="124">
        <v>1544.2</v>
      </c>
      <c r="J154" s="124">
        <v>852.3</v>
      </c>
      <c r="K154" s="125">
        <v>40</v>
      </c>
      <c r="L154" s="123" t="s">
        <v>418</v>
      </c>
      <c r="M154" s="123" t="s">
        <v>425</v>
      </c>
      <c r="N154" s="126" t="s">
        <v>426</v>
      </c>
      <c r="O154" s="128">
        <v>10220476.949999999</v>
      </c>
      <c r="P154" s="128">
        <v>0</v>
      </c>
      <c r="Q154" s="128">
        <v>0</v>
      </c>
      <c r="R154" s="128">
        <v>0</v>
      </c>
      <c r="S154" s="128">
        <f>O154-P154-Q154-R154</f>
        <v>10220476.949999999</v>
      </c>
      <c r="T154" s="128">
        <f t="shared" si="64"/>
        <v>6618.6225553684753</v>
      </c>
      <c r="U154" s="128">
        <v>6743.15</v>
      </c>
      <c r="V154" s="129"/>
      <c r="CR154" s="1"/>
    </row>
    <row r="155" spans="1:96" ht="35.25" x14ac:dyDescent="0.5">
      <c r="A155">
        <v>1</v>
      </c>
      <c r="B155" s="131">
        <f>SUBTOTAL(9,$A$16:A155)</f>
        <v>121</v>
      </c>
      <c r="C155" s="132" t="s">
        <v>602</v>
      </c>
      <c r="D155" s="133" t="s">
        <v>422</v>
      </c>
      <c r="E155" s="123">
        <v>1917</v>
      </c>
      <c r="F155" s="123" t="s">
        <v>420</v>
      </c>
      <c r="G155" s="123">
        <v>2</v>
      </c>
      <c r="H155" s="123" t="s">
        <v>318</v>
      </c>
      <c r="I155" s="124">
        <v>609.5</v>
      </c>
      <c r="J155" s="124">
        <v>564.4</v>
      </c>
      <c r="K155" s="125">
        <v>18</v>
      </c>
      <c r="L155" s="123" t="s">
        <v>418</v>
      </c>
      <c r="M155" s="123" t="s">
        <v>425</v>
      </c>
      <c r="N155" s="126" t="s">
        <v>426</v>
      </c>
      <c r="O155" s="134">
        <v>4754109.129999999</v>
      </c>
      <c r="P155" s="134">
        <v>0</v>
      </c>
      <c r="Q155" s="134">
        <v>0</v>
      </c>
      <c r="R155" s="134">
        <v>0</v>
      </c>
      <c r="S155" s="134">
        <f t="shared" ref="S155" si="71">O155-Q155-R155</f>
        <v>4754109.129999999</v>
      </c>
      <c r="T155" s="135">
        <f>O155/I155</f>
        <v>7800.014979491385</v>
      </c>
      <c r="U155" s="134">
        <v>10659.64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142"/>
      <c r="AB155" s="1">
        <f>O155-P155-Q155-R155-S155</f>
        <v>0</v>
      </c>
      <c r="AD155" s="81">
        <v>0</v>
      </c>
      <c r="AE155">
        <f>AD155*8294.83/I155</f>
        <v>0</v>
      </c>
      <c r="AH155" t="e">
        <f>VLOOKUP(C155,AI:AJ,2,FALSE)</f>
        <v>#N/A</v>
      </c>
      <c r="BU155" s="1">
        <f>U155-T155</f>
        <v>2859.6250205086144</v>
      </c>
      <c r="BW155" t="e">
        <f>VLOOKUP(C155,BX:BY,2,FALSE)</f>
        <v>#N/A</v>
      </c>
      <c r="CN155" s="1"/>
      <c r="CR155" s="1"/>
    </row>
    <row r="156" spans="1:96" ht="35.25" x14ac:dyDescent="0.5">
      <c r="A156">
        <v>1</v>
      </c>
      <c r="B156" s="131">
        <f>SUBTOTAL(9,$A$16:A156)</f>
        <v>122</v>
      </c>
      <c r="C156" s="10" t="s">
        <v>280</v>
      </c>
      <c r="D156" s="123"/>
      <c r="E156" s="123">
        <v>1962</v>
      </c>
      <c r="F156" s="123" t="s">
        <v>368</v>
      </c>
      <c r="G156" s="123">
        <v>2</v>
      </c>
      <c r="H156" s="123" t="s">
        <v>322</v>
      </c>
      <c r="I156" s="124">
        <v>780.9</v>
      </c>
      <c r="J156" s="124">
        <v>657</v>
      </c>
      <c r="K156" s="125">
        <v>21</v>
      </c>
      <c r="L156" s="123" t="s">
        <v>418</v>
      </c>
      <c r="M156" s="123" t="s">
        <v>425</v>
      </c>
      <c r="N156" s="126" t="s">
        <v>426</v>
      </c>
      <c r="O156" s="128">
        <v>849363.02999999991</v>
      </c>
      <c r="P156" s="128">
        <v>0</v>
      </c>
      <c r="Q156" s="128">
        <v>0</v>
      </c>
      <c r="R156" s="128">
        <v>0</v>
      </c>
      <c r="S156" s="128">
        <f>O156-P156-Q156-R156</f>
        <v>849363.02999999991</v>
      </c>
      <c r="T156" s="128">
        <f t="shared" si="64"/>
        <v>1087.6719554360352</v>
      </c>
      <c r="U156" s="128">
        <v>1292.79</v>
      </c>
      <c r="V156" s="129"/>
      <c r="CR156" s="1"/>
    </row>
    <row r="157" spans="1:96" ht="35.25" x14ac:dyDescent="0.5">
      <c r="B157" s="122" t="s">
        <v>690</v>
      </c>
      <c r="C157" s="122"/>
      <c r="D157" s="123" t="s">
        <v>423</v>
      </c>
      <c r="E157" s="123" t="s">
        <v>423</v>
      </c>
      <c r="F157" s="123" t="s">
        <v>423</v>
      </c>
      <c r="G157" s="123" t="s">
        <v>423</v>
      </c>
      <c r="H157" s="123" t="s">
        <v>423</v>
      </c>
      <c r="I157" s="124">
        <f>I158</f>
        <v>400.8</v>
      </c>
      <c r="J157" s="124">
        <f t="shared" ref="J157:K157" si="72">J158</f>
        <v>225.2</v>
      </c>
      <c r="K157" s="125">
        <f t="shared" si="72"/>
        <v>21</v>
      </c>
      <c r="L157" s="123" t="s">
        <v>423</v>
      </c>
      <c r="M157" s="123" t="s">
        <v>423</v>
      </c>
      <c r="N157" s="126" t="s">
        <v>423</v>
      </c>
      <c r="O157" s="128">
        <v>5480018.8700000001</v>
      </c>
      <c r="P157" s="128">
        <f t="shared" ref="P157:S157" si="73">P158</f>
        <v>0</v>
      </c>
      <c r="Q157" s="128">
        <f t="shared" si="73"/>
        <v>0</v>
      </c>
      <c r="R157" s="128">
        <f t="shared" si="73"/>
        <v>0</v>
      </c>
      <c r="S157" s="128">
        <f t="shared" si="73"/>
        <v>5480018.8700000001</v>
      </c>
      <c r="T157" s="128">
        <f t="shared" si="64"/>
        <v>13672.701771457087</v>
      </c>
      <c r="U157" s="128">
        <f>U158</f>
        <v>14101.48</v>
      </c>
      <c r="V157" s="129"/>
      <c r="CR157" s="1"/>
    </row>
    <row r="158" spans="1:96" ht="35.25" x14ac:dyDescent="0.5">
      <c r="A158">
        <v>1</v>
      </c>
      <c r="B158" s="131">
        <f>SUBTOTAL(9,$A$16:A158)</f>
        <v>123</v>
      </c>
      <c r="C158" s="10" t="s">
        <v>224</v>
      </c>
      <c r="D158" s="123"/>
      <c r="E158" s="123">
        <v>1980</v>
      </c>
      <c r="F158" s="123" t="s">
        <v>420</v>
      </c>
      <c r="G158" s="123">
        <v>2</v>
      </c>
      <c r="H158" s="123" t="s">
        <v>318</v>
      </c>
      <c r="I158" s="124">
        <v>400.8</v>
      </c>
      <c r="J158" s="124">
        <v>225.2</v>
      </c>
      <c r="K158" s="125">
        <v>21</v>
      </c>
      <c r="L158" s="123" t="s">
        <v>418</v>
      </c>
      <c r="M158" s="123" t="s">
        <v>425</v>
      </c>
      <c r="N158" s="126" t="s">
        <v>426</v>
      </c>
      <c r="O158" s="128">
        <v>5480018.8700000001</v>
      </c>
      <c r="P158" s="128">
        <v>0</v>
      </c>
      <c r="Q158" s="128">
        <v>0</v>
      </c>
      <c r="R158" s="128">
        <v>0</v>
      </c>
      <c r="S158" s="128">
        <f>O158-P158-Q158-R158</f>
        <v>5480018.8700000001</v>
      </c>
      <c r="T158" s="128">
        <f t="shared" si="64"/>
        <v>13672.701771457087</v>
      </c>
      <c r="U158" s="128">
        <v>14101.48</v>
      </c>
      <c r="V158" s="129"/>
      <c r="CR158" s="1"/>
    </row>
    <row r="159" spans="1:96" ht="35.25" x14ac:dyDescent="0.5">
      <c r="B159" s="122" t="s">
        <v>242</v>
      </c>
      <c r="C159" s="122"/>
      <c r="D159" s="123" t="s">
        <v>423</v>
      </c>
      <c r="E159" s="123" t="s">
        <v>423</v>
      </c>
      <c r="F159" s="123" t="s">
        <v>423</v>
      </c>
      <c r="G159" s="123" t="s">
        <v>423</v>
      </c>
      <c r="H159" s="123" t="s">
        <v>423</v>
      </c>
      <c r="I159" s="124">
        <f>SUM(I160:I168)</f>
        <v>11956.66</v>
      </c>
      <c r="J159" s="124">
        <f t="shared" ref="J159:K159" si="74">SUM(J160:J168)</f>
        <v>8294.2000000000007</v>
      </c>
      <c r="K159" s="125">
        <f t="shared" si="74"/>
        <v>648</v>
      </c>
      <c r="L159" s="123" t="s">
        <v>423</v>
      </c>
      <c r="M159" s="123" t="s">
        <v>423</v>
      </c>
      <c r="N159" s="126" t="s">
        <v>423</v>
      </c>
      <c r="O159" s="128">
        <f>SUM(O160:O168)</f>
        <v>62490575.879999995</v>
      </c>
      <c r="P159" s="128">
        <f t="shared" ref="P159:S159" si="75">SUM(P160:P168)</f>
        <v>0</v>
      </c>
      <c r="Q159" s="128">
        <f t="shared" si="75"/>
        <v>0</v>
      </c>
      <c r="R159" s="128">
        <f t="shared" si="75"/>
        <v>0</v>
      </c>
      <c r="S159" s="128">
        <f t="shared" si="75"/>
        <v>62490575.879999995</v>
      </c>
      <c r="T159" s="128">
        <f t="shared" si="64"/>
        <v>5226.4240916777762</v>
      </c>
      <c r="U159" s="128">
        <f>MAX(U160:U168)</f>
        <v>13480.05</v>
      </c>
      <c r="V159" s="129"/>
      <c r="CR159" s="1"/>
    </row>
    <row r="160" spans="1:96" ht="35.25" x14ac:dyDescent="0.5">
      <c r="A160">
        <v>1</v>
      </c>
      <c r="B160" s="131">
        <f>SUBTOTAL(9,$A$16:A160)</f>
        <v>124</v>
      </c>
      <c r="C160" s="10" t="s">
        <v>227</v>
      </c>
      <c r="D160" s="123"/>
      <c r="E160" s="123">
        <v>2008</v>
      </c>
      <c r="F160" s="123" t="s">
        <v>421</v>
      </c>
      <c r="G160" s="123">
        <v>2</v>
      </c>
      <c r="H160" s="123" t="s">
        <v>320</v>
      </c>
      <c r="I160" s="124">
        <v>1338.2</v>
      </c>
      <c r="J160" s="124">
        <v>597.9</v>
      </c>
      <c r="K160" s="125">
        <v>44</v>
      </c>
      <c r="L160" s="123" t="s">
        <v>418</v>
      </c>
      <c r="M160" s="123" t="s">
        <v>424</v>
      </c>
      <c r="N160" s="126" t="s">
        <v>455</v>
      </c>
      <c r="O160" s="128">
        <v>7712402.0899999999</v>
      </c>
      <c r="P160" s="128">
        <v>0</v>
      </c>
      <c r="Q160" s="128">
        <v>0</v>
      </c>
      <c r="R160" s="128">
        <v>0</v>
      </c>
      <c r="S160" s="128">
        <f t="shared" ref="S160:S165" si="76">O160-P160-Q160-R160</f>
        <v>7712402.0899999999</v>
      </c>
      <c r="T160" s="128">
        <f t="shared" si="64"/>
        <v>5763.2656478852186</v>
      </c>
      <c r="U160" s="128">
        <v>5899.35</v>
      </c>
      <c r="V160" s="129"/>
      <c r="CR160" s="1"/>
    </row>
    <row r="161" spans="1:96" ht="35.25" x14ac:dyDescent="0.5">
      <c r="A161">
        <v>1</v>
      </c>
      <c r="B161" s="131">
        <f>SUBTOTAL(9,$A$16:A161)</f>
        <v>125</v>
      </c>
      <c r="C161" s="10" t="s">
        <v>228</v>
      </c>
      <c r="D161" s="123"/>
      <c r="E161" s="123">
        <v>1978</v>
      </c>
      <c r="F161" s="123" t="s">
        <v>420</v>
      </c>
      <c r="G161" s="123">
        <v>2</v>
      </c>
      <c r="H161" s="123" t="s">
        <v>318</v>
      </c>
      <c r="I161" s="124">
        <v>365.5</v>
      </c>
      <c r="J161" s="124">
        <v>334.3</v>
      </c>
      <c r="K161" s="125">
        <v>17</v>
      </c>
      <c r="L161" s="123" t="s">
        <v>418</v>
      </c>
      <c r="M161" s="123" t="s">
        <v>424</v>
      </c>
      <c r="N161" s="126" t="s">
        <v>456</v>
      </c>
      <c r="O161" s="128">
        <v>4864423.4000000004</v>
      </c>
      <c r="P161" s="128">
        <v>0</v>
      </c>
      <c r="Q161" s="128">
        <v>0</v>
      </c>
      <c r="R161" s="128">
        <v>0</v>
      </c>
      <c r="S161" s="128">
        <f t="shared" si="76"/>
        <v>4864423.4000000004</v>
      </c>
      <c r="T161" s="128">
        <f t="shared" si="64"/>
        <v>13308.955950752395</v>
      </c>
      <c r="U161" s="128">
        <v>13480.05</v>
      </c>
      <c r="V161" s="129"/>
      <c r="CR161" s="1"/>
    </row>
    <row r="162" spans="1:96" ht="35.25" x14ac:dyDescent="0.5">
      <c r="A162">
        <v>1</v>
      </c>
      <c r="B162" s="131">
        <f>SUBTOTAL(9,$A$16:A162)</f>
        <v>126</v>
      </c>
      <c r="C162" s="10" t="s">
        <v>229</v>
      </c>
      <c r="D162" s="123"/>
      <c r="E162" s="123">
        <v>1982</v>
      </c>
      <c r="F162" s="123" t="s">
        <v>420</v>
      </c>
      <c r="G162" s="123">
        <v>2</v>
      </c>
      <c r="H162" s="123" t="s">
        <v>318</v>
      </c>
      <c r="I162" s="124">
        <v>389.1</v>
      </c>
      <c r="J162" s="124">
        <v>355.5</v>
      </c>
      <c r="K162" s="125">
        <v>19</v>
      </c>
      <c r="L162" s="123" t="s">
        <v>418</v>
      </c>
      <c r="M162" s="123" t="s">
        <v>424</v>
      </c>
      <c r="N162" s="126" t="s">
        <v>456</v>
      </c>
      <c r="O162" s="128">
        <v>4043407.75</v>
      </c>
      <c r="P162" s="128">
        <v>0</v>
      </c>
      <c r="Q162" s="128">
        <v>0</v>
      </c>
      <c r="R162" s="128">
        <v>0</v>
      </c>
      <c r="S162" s="128">
        <f t="shared" si="76"/>
        <v>4043407.75</v>
      </c>
      <c r="T162" s="128">
        <f t="shared" si="64"/>
        <v>10391.693009509123</v>
      </c>
      <c r="U162" s="128">
        <v>10547.98</v>
      </c>
      <c r="V162" s="129"/>
      <c r="CR162" s="1"/>
    </row>
    <row r="163" spans="1:96" ht="35.25" x14ac:dyDescent="0.5">
      <c r="A163">
        <v>1</v>
      </c>
      <c r="B163" s="131">
        <f>SUBTOTAL(9,$A$16:A163)</f>
        <v>127</v>
      </c>
      <c r="C163" s="10" t="s">
        <v>230</v>
      </c>
      <c r="D163" s="123"/>
      <c r="E163" s="123">
        <v>1968</v>
      </c>
      <c r="F163" s="123" t="s">
        <v>420</v>
      </c>
      <c r="G163" s="123">
        <v>2</v>
      </c>
      <c r="H163" s="123" t="s">
        <v>320</v>
      </c>
      <c r="I163" s="124">
        <v>685</v>
      </c>
      <c r="J163" s="124">
        <v>633</v>
      </c>
      <c r="K163" s="125">
        <v>33</v>
      </c>
      <c r="L163" s="123" t="s">
        <v>418</v>
      </c>
      <c r="M163" s="123" t="s">
        <v>424</v>
      </c>
      <c r="N163" s="126" t="s">
        <v>456</v>
      </c>
      <c r="O163" s="128">
        <v>6518643.0799999991</v>
      </c>
      <c r="P163" s="128">
        <v>0</v>
      </c>
      <c r="Q163" s="128">
        <v>0</v>
      </c>
      <c r="R163" s="128">
        <v>0</v>
      </c>
      <c r="S163" s="128">
        <f t="shared" si="76"/>
        <v>6518643.0799999991</v>
      </c>
      <c r="T163" s="128">
        <f t="shared" si="64"/>
        <v>9516.2672700729909</v>
      </c>
      <c r="U163" s="128">
        <v>9728.9</v>
      </c>
      <c r="V163" s="129"/>
      <c r="CR163" s="1"/>
    </row>
    <row r="164" spans="1:96" ht="35.25" x14ac:dyDescent="0.5">
      <c r="A164">
        <v>1</v>
      </c>
      <c r="B164" s="131">
        <f>SUBTOTAL(9,$A$16:A164)</f>
        <v>128</v>
      </c>
      <c r="C164" s="10" t="s">
        <v>231</v>
      </c>
      <c r="D164" s="123"/>
      <c r="E164" s="123">
        <v>1970</v>
      </c>
      <c r="F164" s="123" t="s">
        <v>420</v>
      </c>
      <c r="G164" s="123">
        <v>2</v>
      </c>
      <c r="H164" s="123" t="s">
        <v>318</v>
      </c>
      <c r="I164" s="124">
        <v>392</v>
      </c>
      <c r="J164" s="124">
        <v>357</v>
      </c>
      <c r="K164" s="125">
        <v>23</v>
      </c>
      <c r="L164" s="123" t="s">
        <v>418</v>
      </c>
      <c r="M164" s="123" t="s">
        <v>424</v>
      </c>
      <c r="N164" s="126" t="s">
        <v>456</v>
      </c>
      <c r="O164" s="128">
        <v>4061218.0700000003</v>
      </c>
      <c r="P164" s="128">
        <v>0</v>
      </c>
      <c r="Q164" s="128">
        <v>0</v>
      </c>
      <c r="R164" s="128">
        <v>0</v>
      </c>
      <c r="S164" s="128">
        <f t="shared" si="76"/>
        <v>4061218.0700000003</v>
      </c>
      <c r="T164" s="128">
        <f t="shared" si="64"/>
        <v>10360.250178571428</v>
      </c>
      <c r="U164" s="128">
        <v>10521.54</v>
      </c>
      <c r="V164" s="129"/>
      <c r="CR164" s="1"/>
    </row>
    <row r="165" spans="1:96" ht="35.25" x14ac:dyDescent="0.5">
      <c r="A165">
        <v>1</v>
      </c>
      <c r="B165" s="131">
        <f>SUBTOTAL(9,$A$16:A165)</f>
        <v>129</v>
      </c>
      <c r="C165" s="10" t="s">
        <v>232</v>
      </c>
      <c r="D165" s="123"/>
      <c r="E165" s="123">
        <v>1982</v>
      </c>
      <c r="F165" s="123" t="s">
        <v>420</v>
      </c>
      <c r="G165" s="123">
        <v>2</v>
      </c>
      <c r="H165" s="123" t="s">
        <v>327</v>
      </c>
      <c r="I165" s="124">
        <v>928.9</v>
      </c>
      <c r="J165" s="124">
        <v>843.4</v>
      </c>
      <c r="K165" s="125">
        <v>45</v>
      </c>
      <c r="L165" s="123" t="s">
        <v>418</v>
      </c>
      <c r="M165" s="123" t="s">
        <v>424</v>
      </c>
      <c r="N165" s="126" t="s">
        <v>456</v>
      </c>
      <c r="O165" s="128">
        <v>9367053.3000000007</v>
      </c>
      <c r="P165" s="128">
        <v>0</v>
      </c>
      <c r="Q165" s="128">
        <v>0</v>
      </c>
      <c r="R165" s="128">
        <v>0</v>
      </c>
      <c r="S165" s="128">
        <f t="shared" si="76"/>
        <v>9367053.3000000007</v>
      </c>
      <c r="T165" s="128">
        <f t="shared" si="64"/>
        <v>10084.027667133169</v>
      </c>
      <c r="U165" s="128">
        <v>10267.459999999999</v>
      </c>
      <c r="V165" s="129"/>
      <c r="CR165" s="1"/>
    </row>
    <row r="166" spans="1:96" ht="35.25" x14ac:dyDescent="0.5">
      <c r="A166">
        <v>1</v>
      </c>
      <c r="B166" s="131">
        <f>SUBTOTAL(9,$A$16:A166)</f>
        <v>130</v>
      </c>
      <c r="C166" s="10" t="s">
        <v>587</v>
      </c>
      <c r="D166" s="123"/>
      <c r="E166" s="123">
        <v>1975</v>
      </c>
      <c r="F166" s="123" t="s">
        <v>420</v>
      </c>
      <c r="G166" s="123">
        <v>5</v>
      </c>
      <c r="H166" s="123">
        <v>3</v>
      </c>
      <c r="I166" s="124">
        <v>5620.36</v>
      </c>
      <c r="J166" s="124">
        <v>3145.4</v>
      </c>
      <c r="K166" s="125">
        <v>341</v>
      </c>
      <c r="L166" s="123" t="s">
        <v>418</v>
      </c>
      <c r="M166" s="123" t="s">
        <v>425</v>
      </c>
      <c r="N166" s="126" t="s">
        <v>426</v>
      </c>
      <c r="O166" s="128">
        <v>7452578.6799999997</v>
      </c>
      <c r="P166" s="128">
        <v>0</v>
      </c>
      <c r="Q166" s="128">
        <v>0</v>
      </c>
      <c r="R166" s="128">
        <v>0</v>
      </c>
      <c r="S166" s="128">
        <f t="shared" ref="S166:S168" si="77">O166-P166-Q166-R166</f>
        <v>7452578.6799999997</v>
      </c>
      <c r="T166" s="128">
        <f t="shared" si="64"/>
        <v>1325.9966763694852</v>
      </c>
      <c r="U166" s="128">
        <v>1375.6</v>
      </c>
      <c r="V166" s="129"/>
      <c r="CR166" s="1"/>
    </row>
    <row r="167" spans="1:96" ht="35.25" x14ac:dyDescent="0.5">
      <c r="A167">
        <v>1</v>
      </c>
      <c r="B167" s="131">
        <f>SUBTOTAL(9,$A$16:A167)</f>
        <v>131</v>
      </c>
      <c r="C167" s="10" t="s">
        <v>588</v>
      </c>
      <c r="D167" s="123"/>
      <c r="E167" s="123">
        <v>1971</v>
      </c>
      <c r="F167" s="123" t="s">
        <v>420</v>
      </c>
      <c r="G167" s="123">
        <v>2</v>
      </c>
      <c r="H167" s="123">
        <v>2</v>
      </c>
      <c r="I167" s="124">
        <v>745.7</v>
      </c>
      <c r="J167" s="124">
        <v>692.6</v>
      </c>
      <c r="K167" s="125">
        <v>44</v>
      </c>
      <c r="L167" s="123" t="s">
        <v>418</v>
      </c>
      <c r="M167" s="123" t="s">
        <v>424</v>
      </c>
      <c r="N167" s="126" t="s">
        <v>589</v>
      </c>
      <c r="O167" s="128">
        <v>8409942.5600000005</v>
      </c>
      <c r="P167" s="128">
        <v>0</v>
      </c>
      <c r="Q167" s="128">
        <v>0</v>
      </c>
      <c r="R167" s="128">
        <v>0</v>
      </c>
      <c r="S167" s="128">
        <f t="shared" si="77"/>
        <v>8409942.5600000005</v>
      </c>
      <c r="T167" s="128">
        <f t="shared" si="64"/>
        <v>11277.916803003889</v>
      </c>
      <c r="U167" s="128">
        <v>11316.28</v>
      </c>
      <c r="V167" s="129"/>
      <c r="CR167" s="1"/>
    </row>
    <row r="168" spans="1:96" ht="35.25" x14ac:dyDescent="0.5">
      <c r="A168">
        <v>1</v>
      </c>
      <c r="B168" s="131">
        <f>SUBTOTAL(9,$A$16:A168)</f>
        <v>132</v>
      </c>
      <c r="C168" s="10" t="s">
        <v>717</v>
      </c>
      <c r="D168" s="123"/>
      <c r="E168" s="123">
        <v>1987</v>
      </c>
      <c r="F168" s="123" t="s">
        <v>420</v>
      </c>
      <c r="G168" s="123">
        <v>3</v>
      </c>
      <c r="H168" s="123">
        <v>3</v>
      </c>
      <c r="I168" s="124">
        <v>1491.9</v>
      </c>
      <c r="J168" s="124">
        <v>1335.1</v>
      </c>
      <c r="K168" s="125">
        <v>82</v>
      </c>
      <c r="L168" s="123" t="s">
        <v>418</v>
      </c>
      <c r="M168" s="123" t="s">
        <v>424</v>
      </c>
      <c r="N168" s="126" t="s">
        <v>456</v>
      </c>
      <c r="O168" s="128">
        <v>10060906.949999999</v>
      </c>
      <c r="P168" s="128">
        <v>0</v>
      </c>
      <c r="Q168" s="128">
        <v>0</v>
      </c>
      <c r="R168" s="128">
        <v>0</v>
      </c>
      <c r="S168" s="128">
        <f t="shared" si="77"/>
        <v>10060906.949999999</v>
      </c>
      <c r="T168" s="128">
        <f t="shared" si="64"/>
        <v>6743.6872109390697</v>
      </c>
      <c r="U168" s="128">
        <v>6743.69</v>
      </c>
      <c r="V168" s="129"/>
      <c r="CR168" s="1"/>
    </row>
    <row r="169" spans="1:96" ht="35.25" x14ac:dyDescent="0.5">
      <c r="B169" s="122" t="s">
        <v>670</v>
      </c>
      <c r="C169" s="122"/>
      <c r="D169" s="123" t="s">
        <v>423</v>
      </c>
      <c r="E169" s="123" t="s">
        <v>423</v>
      </c>
      <c r="F169" s="123" t="s">
        <v>423</v>
      </c>
      <c r="G169" s="123" t="s">
        <v>423</v>
      </c>
      <c r="H169" s="123" t="s">
        <v>423</v>
      </c>
      <c r="I169" s="124">
        <f>I170+I171+I172+I173+I174</f>
        <v>3024.8999999999996</v>
      </c>
      <c r="J169" s="124">
        <f t="shared" ref="J169:K169" si="78">J170+J171+J172+J173+J174</f>
        <v>2202.9</v>
      </c>
      <c r="K169" s="125">
        <f t="shared" si="78"/>
        <v>175</v>
      </c>
      <c r="L169" s="123" t="s">
        <v>423</v>
      </c>
      <c r="M169" s="123" t="s">
        <v>423</v>
      </c>
      <c r="N169" s="126" t="s">
        <v>423</v>
      </c>
      <c r="O169" s="128">
        <f>SUM(O170:O174)</f>
        <v>36611300.780000001</v>
      </c>
      <c r="P169" s="128">
        <f t="shared" ref="P169:S169" si="79">SUM(P170:P174)</f>
        <v>0</v>
      </c>
      <c r="Q169" s="128">
        <f t="shared" si="79"/>
        <v>0</v>
      </c>
      <c r="R169" s="128">
        <f t="shared" si="79"/>
        <v>0</v>
      </c>
      <c r="S169" s="128">
        <f t="shared" si="79"/>
        <v>36611300.780000001</v>
      </c>
      <c r="T169" s="128">
        <f t="shared" ref="T169" si="80">O169/I169</f>
        <v>12103.309458163909</v>
      </c>
      <c r="U169" s="128">
        <f>MAX(U170:U174)</f>
        <v>17601.8</v>
      </c>
      <c r="V169" s="129"/>
      <c r="CR169" s="1"/>
    </row>
    <row r="170" spans="1:96" ht="35.25" x14ac:dyDescent="0.5">
      <c r="A170">
        <v>1</v>
      </c>
      <c r="B170" s="131">
        <f>SUBTOTAL(9,$A$16:A170)</f>
        <v>133</v>
      </c>
      <c r="C170" s="132" t="s">
        <v>607</v>
      </c>
      <c r="D170" s="133" t="s">
        <v>422</v>
      </c>
      <c r="E170" s="123">
        <v>1917</v>
      </c>
      <c r="F170" s="123" t="s">
        <v>420</v>
      </c>
      <c r="G170" s="123">
        <v>2</v>
      </c>
      <c r="H170" s="123" t="s">
        <v>322</v>
      </c>
      <c r="I170" s="124">
        <v>396.4</v>
      </c>
      <c r="J170" s="124">
        <v>235</v>
      </c>
      <c r="K170" s="125">
        <v>13</v>
      </c>
      <c r="L170" s="123" t="s">
        <v>418</v>
      </c>
      <c r="M170" s="123" t="s">
        <v>424</v>
      </c>
      <c r="N170" s="126" t="s">
        <v>626</v>
      </c>
      <c r="O170" s="134">
        <v>3361557.41</v>
      </c>
      <c r="P170" s="134">
        <v>0</v>
      </c>
      <c r="Q170" s="134">
        <v>0</v>
      </c>
      <c r="R170" s="134">
        <v>0</v>
      </c>
      <c r="S170" s="134">
        <f t="shared" ref="S170" si="81">O170-Q170-R170</f>
        <v>3361557.41</v>
      </c>
      <c r="T170" s="135">
        <f t="shared" si="64"/>
        <v>8480.2154641775996</v>
      </c>
      <c r="U170" s="134">
        <v>17601.8</v>
      </c>
      <c r="V170" s="76">
        <v>0</v>
      </c>
      <c r="W170" s="76">
        <v>0</v>
      </c>
      <c r="X170" s="76">
        <v>0</v>
      </c>
      <c r="Y170" s="76">
        <v>0</v>
      </c>
      <c r="Z170" s="76">
        <v>0</v>
      </c>
      <c r="AA170" s="142"/>
      <c r="AB170" s="1">
        <f t="shared" ref="AB170" si="82">O170-P170-Q170-R170-S170</f>
        <v>0</v>
      </c>
      <c r="AD170" s="81">
        <v>608</v>
      </c>
      <c r="AE170">
        <f t="shared" ref="AE170" si="83">AD170*8294.83/I170</f>
        <v>12722.645408678103</v>
      </c>
      <c r="AH170" t="e">
        <f>VLOOKUP(C170,AI:AJ,2,FALSE)</f>
        <v>#N/A</v>
      </c>
      <c r="BU170" s="1">
        <f t="shared" ref="BU170" si="84">U170-T170</f>
        <v>9121.5845358223996</v>
      </c>
      <c r="BW170" t="e">
        <f>VLOOKUP(C170,BX:BY,2,FALSE)</f>
        <v>#N/A</v>
      </c>
      <c r="CN170" s="1"/>
      <c r="CR170" s="1"/>
    </row>
    <row r="171" spans="1:96" ht="35.25" x14ac:dyDescent="0.5">
      <c r="A171">
        <v>1</v>
      </c>
      <c r="B171" s="131">
        <f>SUBTOTAL(9,$A$16:A171)</f>
        <v>134</v>
      </c>
      <c r="C171" s="10" t="s">
        <v>244</v>
      </c>
      <c r="D171" s="123"/>
      <c r="E171" s="123">
        <v>1973</v>
      </c>
      <c r="F171" s="123" t="s">
        <v>420</v>
      </c>
      <c r="G171" s="123">
        <v>2</v>
      </c>
      <c r="H171" s="123" t="s">
        <v>320</v>
      </c>
      <c r="I171" s="124">
        <v>682.9</v>
      </c>
      <c r="J171" s="124">
        <v>455</v>
      </c>
      <c r="K171" s="125">
        <v>42</v>
      </c>
      <c r="L171" s="123" t="s">
        <v>418</v>
      </c>
      <c r="M171" s="123" t="s">
        <v>424</v>
      </c>
      <c r="N171" s="126" t="s">
        <v>459</v>
      </c>
      <c r="O171" s="128">
        <v>6677312.2599999998</v>
      </c>
      <c r="P171" s="128">
        <v>0</v>
      </c>
      <c r="Q171" s="128">
        <v>0</v>
      </c>
      <c r="R171" s="128">
        <v>0</v>
      </c>
      <c r="S171" s="128">
        <f>O171-P171-Q171-R171</f>
        <v>6677312.2599999998</v>
      </c>
      <c r="T171" s="128">
        <f t="shared" si="64"/>
        <v>9777.877083028261</v>
      </c>
      <c r="U171" s="128">
        <v>9961.84</v>
      </c>
      <c r="V171" s="129"/>
      <c r="CR171" s="1"/>
    </row>
    <row r="172" spans="1:96" ht="35.25" x14ac:dyDescent="0.5">
      <c r="A172">
        <v>1</v>
      </c>
      <c r="B172" s="131">
        <f>SUBTOTAL(9,$A$16:A172)</f>
        <v>135</v>
      </c>
      <c r="C172" s="10" t="s">
        <v>245</v>
      </c>
      <c r="D172" s="123"/>
      <c r="E172" s="123">
        <v>1971</v>
      </c>
      <c r="F172" s="123" t="s">
        <v>420</v>
      </c>
      <c r="G172" s="123">
        <v>2</v>
      </c>
      <c r="H172" s="123" t="s">
        <v>327</v>
      </c>
      <c r="I172" s="124">
        <v>854.8</v>
      </c>
      <c r="J172" s="124">
        <v>574.20000000000005</v>
      </c>
      <c r="K172" s="125">
        <v>57</v>
      </c>
      <c r="L172" s="123" t="s">
        <v>418</v>
      </c>
      <c r="M172" s="123" t="s">
        <v>424</v>
      </c>
      <c r="N172" s="126" t="s">
        <v>460</v>
      </c>
      <c r="O172" s="128">
        <v>13690580.75</v>
      </c>
      <c r="P172" s="128">
        <v>0</v>
      </c>
      <c r="Q172" s="128">
        <v>0</v>
      </c>
      <c r="R172" s="128">
        <v>0</v>
      </c>
      <c r="S172" s="128">
        <f>O172-P172-Q172-R172</f>
        <v>13690580.75</v>
      </c>
      <c r="T172" s="128">
        <f t="shared" si="64"/>
        <v>16016.121607393543</v>
      </c>
      <c r="U172" s="128">
        <v>16016.12</v>
      </c>
      <c r="V172" s="129"/>
      <c r="CR172" s="1"/>
    </row>
    <row r="173" spans="1:96" ht="35.25" x14ac:dyDescent="0.5">
      <c r="A173">
        <v>1</v>
      </c>
      <c r="B173" s="131">
        <f>SUBTOTAL(9,$A$16:A173)</f>
        <v>136</v>
      </c>
      <c r="C173" s="10" t="s">
        <v>246</v>
      </c>
      <c r="D173" s="123"/>
      <c r="E173" s="123">
        <v>1971</v>
      </c>
      <c r="F173" s="123" t="s">
        <v>420</v>
      </c>
      <c r="G173" s="123">
        <v>2</v>
      </c>
      <c r="H173" s="123" t="s">
        <v>320</v>
      </c>
      <c r="I173" s="124">
        <v>718.6</v>
      </c>
      <c r="J173" s="124">
        <v>718.6</v>
      </c>
      <c r="K173" s="125">
        <v>42</v>
      </c>
      <c r="L173" s="123" t="s">
        <v>418</v>
      </c>
      <c r="M173" s="123" t="s">
        <v>424</v>
      </c>
      <c r="N173" s="126" t="s">
        <v>460</v>
      </c>
      <c r="O173" s="128">
        <v>8400688.3300000001</v>
      </c>
      <c r="P173" s="128">
        <v>0</v>
      </c>
      <c r="Q173" s="128">
        <v>0</v>
      </c>
      <c r="R173" s="128">
        <v>0</v>
      </c>
      <c r="S173" s="128">
        <f>O173-P173-Q173-R173</f>
        <v>8400688.3300000001</v>
      </c>
      <c r="T173" s="128">
        <f t="shared" ref="T173:T183" si="85">O173/I173</f>
        <v>11690.353924297244</v>
      </c>
      <c r="U173" s="128">
        <v>12292.62</v>
      </c>
      <c r="V173" s="129"/>
      <c r="CR173" s="1"/>
    </row>
    <row r="174" spans="1:96" ht="35.25" x14ac:dyDescent="0.5">
      <c r="A174">
        <v>1</v>
      </c>
      <c r="B174" s="131">
        <f>SUBTOTAL(9,$A$16:A174)</f>
        <v>137</v>
      </c>
      <c r="C174" s="10" t="s">
        <v>668</v>
      </c>
      <c r="D174" s="123"/>
      <c r="E174" s="123">
        <v>1980</v>
      </c>
      <c r="F174" s="123" t="s">
        <v>420</v>
      </c>
      <c r="G174" s="123">
        <v>2</v>
      </c>
      <c r="H174" s="123">
        <v>1</v>
      </c>
      <c r="I174" s="124">
        <v>372.2</v>
      </c>
      <c r="J174" s="124">
        <v>220.1</v>
      </c>
      <c r="K174" s="125">
        <v>21</v>
      </c>
      <c r="L174" s="123" t="s">
        <v>418</v>
      </c>
      <c r="M174" s="123" t="s">
        <v>425</v>
      </c>
      <c r="N174" s="126" t="s">
        <v>426</v>
      </c>
      <c r="O174" s="128">
        <v>4481162.03</v>
      </c>
      <c r="P174" s="128">
        <v>0</v>
      </c>
      <c r="Q174" s="128">
        <v>0</v>
      </c>
      <c r="R174" s="128">
        <v>0</v>
      </c>
      <c r="S174" s="128">
        <f>O174-P174-Q174-R174</f>
        <v>4481162.03</v>
      </c>
      <c r="T174" s="128">
        <f t="shared" si="85"/>
        <v>12039.661552928534</v>
      </c>
      <c r="U174" s="128">
        <v>12039.66</v>
      </c>
      <c r="V174" s="129"/>
      <c r="CR174" s="1"/>
    </row>
    <row r="175" spans="1:96" ht="35.25" x14ac:dyDescent="0.5">
      <c r="B175" s="122" t="s">
        <v>264</v>
      </c>
      <c r="C175" s="122"/>
      <c r="D175" s="123" t="s">
        <v>423</v>
      </c>
      <c r="E175" s="123" t="s">
        <v>423</v>
      </c>
      <c r="F175" s="123" t="s">
        <v>423</v>
      </c>
      <c r="G175" s="123" t="s">
        <v>423</v>
      </c>
      <c r="H175" s="123" t="s">
        <v>423</v>
      </c>
      <c r="I175" s="124">
        <f>I176</f>
        <v>961.7</v>
      </c>
      <c r="J175" s="124">
        <f t="shared" ref="J175:K175" si="86">J176</f>
        <v>880.9</v>
      </c>
      <c r="K175" s="125">
        <f t="shared" si="86"/>
        <v>45</v>
      </c>
      <c r="L175" s="123" t="s">
        <v>423</v>
      </c>
      <c r="M175" s="123" t="s">
        <v>423</v>
      </c>
      <c r="N175" s="126" t="s">
        <v>423</v>
      </c>
      <c r="O175" s="128">
        <v>12186729.6</v>
      </c>
      <c r="P175" s="128">
        <f t="shared" ref="P175:S175" si="87">P176</f>
        <v>0</v>
      </c>
      <c r="Q175" s="128">
        <f t="shared" si="87"/>
        <v>0</v>
      </c>
      <c r="R175" s="128">
        <f t="shared" si="87"/>
        <v>0</v>
      </c>
      <c r="S175" s="128">
        <f t="shared" si="87"/>
        <v>12186729.6</v>
      </c>
      <c r="T175" s="128">
        <f t="shared" si="85"/>
        <v>12672.069876260788</v>
      </c>
      <c r="U175" s="128">
        <f>U176</f>
        <v>12910.49</v>
      </c>
      <c r="V175" s="129"/>
      <c r="CR175" s="1"/>
    </row>
    <row r="176" spans="1:96" ht="35.25" x14ac:dyDescent="0.5">
      <c r="A176">
        <v>1</v>
      </c>
      <c r="B176" s="131">
        <f>SUBTOTAL(9,$A$16:A176)</f>
        <v>138</v>
      </c>
      <c r="C176" s="10" t="s">
        <v>257</v>
      </c>
      <c r="D176" s="123"/>
      <c r="E176" s="123">
        <v>1982</v>
      </c>
      <c r="F176" s="123" t="s">
        <v>420</v>
      </c>
      <c r="G176" s="123">
        <v>2</v>
      </c>
      <c r="H176" s="123" t="s">
        <v>327</v>
      </c>
      <c r="I176" s="124">
        <v>961.7</v>
      </c>
      <c r="J176" s="124">
        <v>880.9</v>
      </c>
      <c r="K176" s="125">
        <v>45</v>
      </c>
      <c r="L176" s="123" t="s">
        <v>418</v>
      </c>
      <c r="M176" s="123" t="s">
        <v>425</v>
      </c>
      <c r="N176" s="126" t="s">
        <v>426</v>
      </c>
      <c r="O176" s="128">
        <v>12186729.6</v>
      </c>
      <c r="P176" s="128">
        <v>0</v>
      </c>
      <c r="Q176" s="128">
        <v>0</v>
      </c>
      <c r="R176" s="128">
        <v>0</v>
      </c>
      <c r="S176" s="128">
        <f>O176-P176-Q176-R176</f>
        <v>12186729.6</v>
      </c>
      <c r="T176" s="128">
        <f t="shared" si="85"/>
        <v>12672.069876260788</v>
      </c>
      <c r="U176" s="128">
        <v>12910.49</v>
      </c>
      <c r="V176" s="129"/>
      <c r="CR176" s="1"/>
    </row>
    <row r="177" spans="1:96" ht="35.25" x14ac:dyDescent="0.5">
      <c r="B177" s="122" t="s">
        <v>265</v>
      </c>
      <c r="C177" s="122"/>
      <c r="D177" s="123" t="s">
        <v>423</v>
      </c>
      <c r="E177" s="123" t="s">
        <v>423</v>
      </c>
      <c r="F177" s="123" t="s">
        <v>423</v>
      </c>
      <c r="G177" s="123" t="s">
        <v>423</v>
      </c>
      <c r="H177" s="123" t="s">
        <v>423</v>
      </c>
      <c r="I177" s="124">
        <f>I178+I179+I180</f>
        <v>1035.0999999999999</v>
      </c>
      <c r="J177" s="124">
        <f t="shared" ref="J177:K177" si="88">J178+J179+J180</f>
        <v>950.90000000000009</v>
      </c>
      <c r="K177" s="125">
        <f t="shared" si="88"/>
        <v>46</v>
      </c>
      <c r="L177" s="123" t="s">
        <v>423</v>
      </c>
      <c r="M177" s="123" t="s">
        <v>423</v>
      </c>
      <c r="N177" s="126" t="s">
        <v>423</v>
      </c>
      <c r="O177" s="128">
        <v>8962475.1999999993</v>
      </c>
      <c r="P177" s="128">
        <f>P178+P179+P180</f>
        <v>0</v>
      </c>
      <c r="Q177" s="128">
        <f t="shared" ref="Q177:S177" si="89">Q178+Q179+Q180</f>
        <v>0</v>
      </c>
      <c r="R177" s="128">
        <f t="shared" si="89"/>
        <v>2600226.16</v>
      </c>
      <c r="S177" s="128">
        <f t="shared" si="89"/>
        <v>6362249.04</v>
      </c>
      <c r="T177" s="128">
        <f t="shared" si="85"/>
        <v>8658.5597526808997</v>
      </c>
      <c r="U177" s="128">
        <f>U178</f>
        <v>7989.54</v>
      </c>
      <c r="V177" s="129"/>
      <c r="CR177" s="1"/>
    </row>
    <row r="178" spans="1:96" ht="35.25" x14ac:dyDescent="0.5">
      <c r="A178">
        <v>1</v>
      </c>
      <c r="B178" s="131">
        <f>SUBTOTAL(9,$A$16:A178)</f>
        <v>139</v>
      </c>
      <c r="C178" s="10" t="s">
        <v>413</v>
      </c>
      <c r="D178" s="123" t="s">
        <v>422</v>
      </c>
      <c r="E178" s="123">
        <v>1917</v>
      </c>
      <c r="F178" s="123" t="s">
        <v>420</v>
      </c>
      <c r="G178" s="123">
        <v>2</v>
      </c>
      <c r="H178" s="123">
        <v>1</v>
      </c>
      <c r="I178" s="124">
        <v>293</v>
      </c>
      <c r="J178" s="124">
        <v>251.3</v>
      </c>
      <c r="K178" s="125">
        <v>11</v>
      </c>
      <c r="L178" s="123" t="s">
        <v>418</v>
      </c>
      <c r="M178" s="123" t="s">
        <v>425</v>
      </c>
      <c r="N178" s="126" t="s">
        <v>426</v>
      </c>
      <c r="O178" s="128">
        <v>2281545</v>
      </c>
      <c r="P178" s="128">
        <v>0</v>
      </c>
      <c r="Q178" s="128">
        <v>0</v>
      </c>
      <c r="R178" s="128">
        <v>0</v>
      </c>
      <c r="S178" s="128">
        <f>O178-P178-Q178-R178</f>
        <v>2281545</v>
      </c>
      <c r="T178" s="128">
        <f t="shared" si="85"/>
        <v>7786.8430034129697</v>
      </c>
      <c r="U178" s="128">
        <v>7989.54</v>
      </c>
      <c r="V178" s="129"/>
      <c r="CR178" s="1"/>
    </row>
    <row r="179" spans="1:96" ht="35.25" x14ac:dyDescent="0.5">
      <c r="A179">
        <v>1</v>
      </c>
      <c r="B179" s="131">
        <f>SUBTOTAL(9,$A$16:A179)</f>
        <v>140</v>
      </c>
      <c r="C179" s="132" t="s">
        <v>660</v>
      </c>
      <c r="D179" s="133" t="s">
        <v>422</v>
      </c>
      <c r="E179" s="123">
        <v>1917</v>
      </c>
      <c r="F179" s="123" t="s">
        <v>420</v>
      </c>
      <c r="G179" s="123">
        <v>2</v>
      </c>
      <c r="H179" s="123">
        <v>1</v>
      </c>
      <c r="I179" s="124">
        <v>282.3</v>
      </c>
      <c r="J179" s="124">
        <v>246</v>
      </c>
      <c r="K179" s="125">
        <v>12</v>
      </c>
      <c r="L179" s="123" t="s">
        <v>418</v>
      </c>
      <c r="M179" s="123" t="s">
        <v>425</v>
      </c>
      <c r="N179" s="126" t="s">
        <v>426</v>
      </c>
      <c r="O179" s="134">
        <v>2600226.16</v>
      </c>
      <c r="P179" s="134">
        <v>0</v>
      </c>
      <c r="Q179" s="134">
        <v>0</v>
      </c>
      <c r="R179" s="134">
        <f>O179</f>
        <v>2600226.16</v>
      </c>
      <c r="S179" s="134">
        <f t="shared" ref="S179:S180" si="90">O179-Q179-R179</f>
        <v>0</v>
      </c>
      <c r="T179" s="135">
        <f>O179/I179</f>
        <v>9210.8613531703868</v>
      </c>
      <c r="U179" s="134">
        <v>11361.92277718739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142"/>
      <c r="AB179" s="1">
        <f t="shared" ref="AB179:AB180" si="91">O179-P179-Q179-R179-S179</f>
        <v>0</v>
      </c>
      <c r="AD179" s="81">
        <v>0</v>
      </c>
      <c r="AE179">
        <f t="shared" ref="AE179:AE180" si="92">AD179*8294.83/I179</f>
        <v>0</v>
      </c>
      <c r="AH179" t="e">
        <f>VLOOKUP(C179,AI:AJ,2,FALSE)</f>
        <v>#N/A</v>
      </c>
      <c r="BU179" s="1">
        <f t="shared" ref="BU179:BU180" si="93">U179-T179</f>
        <v>2151.0614240170034</v>
      </c>
      <c r="BW179" t="e">
        <f>VLOOKUP(C179,BX:BY,2,FALSE)</f>
        <v>#N/A</v>
      </c>
      <c r="CN179" s="1"/>
      <c r="CR179" s="1"/>
    </row>
    <row r="180" spans="1:96" ht="35.25" x14ac:dyDescent="0.5">
      <c r="A180">
        <v>1</v>
      </c>
      <c r="B180" s="131">
        <f>SUBTOTAL(9,$A$16:A180)</f>
        <v>141</v>
      </c>
      <c r="C180" s="132" t="s">
        <v>661</v>
      </c>
      <c r="D180" s="133" t="s">
        <v>422</v>
      </c>
      <c r="E180" s="123">
        <v>1917</v>
      </c>
      <c r="F180" s="123" t="s">
        <v>420</v>
      </c>
      <c r="G180" s="123">
        <v>2</v>
      </c>
      <c r="H180" s="123" t="s">
        <v>318</v>
      </c>
      <c r="I180" s="124">
        <v>459.8</v>
      </c>
      <c r="J180" s="124">
        <v>453.6</v>
      </c>
      <c r="K180" s="125">
        <v>23</v>
      </c>
      <c r="L180" s="123" t="s">
        <v>418</v>
      </c>
      <c r="M180" s="123" t="s">
        <v>425</v>
      </c>
      <c r="N180" s="126" t="s">
        <v>426</v>
      </c>
      <c r="O180" s="134">
        <v>4080704.04</v>
      </c>
      <c r="P180" s="134">
        <v>0</v>
      </c>
      <c r="Q180" s="134">
        <v>0</v>
      </c>
      <c r="R180" s="134">
        <v>0</v>
      </c>
      <c r="S180" s="134">
        <f t="shared" si="90"/>
        <v>4080704.04</v>
      </c>
      <c r="T180" s="135">
        <f t="shared" ref="T180" si="94">O180/I180</f>
        <v>8874.9544149630274</v>
      </c>
      <c r="U180" s="134">
        <v>10978.439549804261</v>
      </c>
      <c r="V180" s="76">
        <v>0</v>
      </c>
      <c r="W180" s="76">
        <v>0</v>
      </c>
      <c r="X180" s="76">
        <v>0</v>
      </c>
      <c r="Y180" s="76">
        <v>0</v>
      </c>
      <c r="Z180" s="76">
        <v>0</v>
      </c>
      <c r="AA180" s="142"/>
      <c r="AB180" s="1">
        <f t="shared" si="91"/>
        <v>0</v>
      </c>
      <c r="AD180" s="81">
        <v>0</v>
      </c>
      <c r="AE180">
        <f t="shared" si="92"/>
        <v>0</v>
      </c>
      <c r="AH180" t="e">
        <f>VLOOKUP(C180,AI:AJ,2,FALSE)</f>
        <v>#N/A</v>
      </c>
      <c r="BU180" s="1">
        <f t="shared" si="93"/>
        <v>2103.485134841234</v>
      </c>
      <c r="BW180" t="e">
        <f>VLOOKUP(C180,BX:BY,2,FALSE)</f>
        <v>#N/A</v>
      </c>
      <c r="CN180" s="1"/>
      <c r="CR180" s="1"/>
    </row>
    <row r="181" spans="1:96" ht="35.25" x14ac:dyDescent="0.5">
      <c r="B181" s="122" t="s">
        <v>696</v>
      </c>
      <c r="C181" s="122"/>
      <c r="D181" s="123" t="s">
        <v>423</v>
      </c>
      <c r="E181" s="123" t="s">
        <v>423</v>
      </c>
      <c r="F181" s="123" t="s">
        <v>423</v>
      </c>
      <c r="G181" s="123" t="s">
        <v>423</v>
      </c>
      <c r="H181" s="123" t="s">
        <v>423</v>
      </c>
      <c r="I181" s="124">
        <f>SUM(I182:I183)</f>
        <v>4343.1000000000004</v>
      </c>
      <c r="J181" s="124">
        <f t="shared" ref="J181:K181" si="95">SUM(J182:J183)</f>
        <v>4014.7</v>
      </c>
      <c r="K181" s="125">
        <f t="shared" si="95"/>
        <v>175</v>
      </c>
      <c r="L181" s="123" t="s">
        <v>423</v>
      </c>
      <c r="M181" s="123" t="s">
        <v>423</v>
      </c>
      <c r="N181" s="126" t="s">
        <v>423</v>
      </c>
      <c r="O181" s="128">
        <v>22647005.84</v>
      </c>
      <c r="P181" s="128">
        <f t="shared" ref="P181:S181" si="96">SUM(P182:P183)</f>
        <v>0</v>
      </c>
      <c r="Q181" s="128">
        <f t="shared" si="96"/>
        <v>0</v>
      </c>
      <c r="R181" s="128">
        <f t="shared" si="96"/>
        <v>0</v>
      </c>
      <c r="S181" s="128">
        <f t="shared" si="96"/>
        <v>22647005.84</v>
      </c>
      <c r="T181" s="128">
        <f t="shared" si="85"/>
        <v>5214.4794823973652</v>
      </c>
      <c r="U181" s="128">
        <f>MAX(U182:U183)</f>
        <v>10266.39</v>
      </c>
      <c r="V181" s="129"/>
      <c r="CR181" s="1"/>
    </row>
    <row r="182" spans="1:96" ht="35.25" x14ac:dyDescent="0.5">
      <c r="A182">
        <v>1</v>
      </c>
      <c r="B182" s="131">
        <f>SUBTOTAL(9,$A$16:A182)</f>
        <v>142</v>
      </c>
      <c r="C182" s="10" t="s">
        <v>269</v>
      </c>
      <c r="D182" s="123"/>
      <c r="E182" s="123">
        <v>1968</v>
      </c>
      <c r="F182" s="123" t="s">
        <v>420</v>
      </c>
      <c r="G182" s="123">
        <v>5</v>
      </c>
      <c r="H182" s="123" t="s">
        <v>322</v>
      </c>
      <c r="I182" s="124">
        <v>3557</v>
      </c>
      <c r="J182" s="124">
        <v>3288.4</v>
      </c>
      <c r="K182" s="125">
        <v>135</v>
      </c>
      <c r="L182" s="123" t="s">
        <v>418</v>
      </c>
      <c r="M182" s="123" t="s">
        <v>424</v>
      </c>
      <c r="N182" s="126" t="s">
        <v>465</v>
      </c>
      <c r="O182" s="128">
        <v>14725631.6</v>
      </c>
      <c r="P182" s="128">
        <v>0</v>
      </c>
      <c r="Q182" s="128">
        <v>0</v>
      </c>
      <c r="R182" s="128">
        <v>0</v>
      </c>
      <c r="S182" s="128">
        <f>O182-P182-Q182-R182</f>
        <v>14725631.6</v>
      </c>
      <c r="T182" s="128">
        <f t="shared" si="85"/>
        <v>4139.902052291257</v>
      </c>
      <c r="U182" s="128">
        <v>4217.79</v>
      </c>
      <c r="V182" s="129"/>
      <c r="CR182" s="1"/>
    </row>
    <row r="183" spans="1:96" ht="35.25" x14ac:dyDescent="0.5">
      <c r="A183">
        <v>1</v>
      </c>
      <c r="B183" s="131">
        <f>SUBTOTAL(9,$A$16:A183)</f>
        <v>143</v>
      </c>
      <c r="C183" s="10" t="s">
        <v>270</v>
      </c>
      <c r="D183" s="123"/>
      <c r="E183" s="123">
        <v>1967</v>
      </c>
      <c r="F183" s="123" t="s">
        <v>420</v>
      </c>
      <c r="G183" s="123">
        <v>2</v>
      </c>
      <c r="H183" s="123" t="s">
        <v>320</v>
      </c>
      <c r="I183" s="124">
        <v>786.1</v>
      </c>
      <c r="J183" s="124">
        <v>726.3</v>
      </c>
      <c r="K183" s="125">
        <v>40</v>
      </c>
      <c r="L183" s="123" t="s">
        <v>418</v>
      </c>
      <c r="M183" s="123" t="s">
        <v>425</v>
      </c>
      <c r="N183" s="126" t="s">
        <v>426</v>
      </c>
      <c r="O183" s="128">
        <v>7921374.2399999993</v>
      </c>
      <c r="P183" s="128">
        <v>0</v>
      </c>
      <c r="Q183" s="128">
        <v>0</v>
      </c>
      <c r="R183" s="128">
        <v>0</v>
      </c>
      <c r="S183" s="128">
        <f>O183-P183-Q183-R183</f>
        <v>7921374.2399999993</v>
      </c>
      <c r="T183" s="128">
        <f t="shared" si="85"/>
        <v>10076.802238900902</v>
      </c>
      <c r="U183" s="128">
        <v>10266.39</v>
      </c>
      <c r="V183" s="129"/>
      <c r="CR183" s="1"/>
    </row>
    <row r="184" spans="1:96" ht="35.25" x14ac:dyDescent="0.5">
      <c r="A184">
        <v>1</v>
      </c>
      <c r="B184" s="122" t="s">
        <v>517</v>
      </c>
      <c r="C184" s="10"/>
      <c r="D184" s="123" t="s">
        <v>423</v>
      </c>
      <c r="E184" s="123" t="s">
        <v>423</v>
      </c>
      <c r="F184" s="123" t="s">
        <v>423</v>
      </c>
      <c r="G184" s="123" t="s">
        <v>423</v>
      </c>
      <c r="H184" s="123" t="s">
        <v>423</v>
      </c>
      <c r="I184" s="124">
        <f>I185+I221+I226+I245+I257+I260+I276+I280+I282+I284+I286+I288+I291+I294+I296+I302+I306+I309+I312+I315+I319+I321+I326+I331+I334</f>
        <v>455358.15</v>
      </c>
      <c r="J184" s="124">
        <f t="shared" ref="J184:K184" si="97">J185+J221+J226+J245+J257+J260+J276+J280+J282+J284+J286+J288+J291+J294+J296+J302+J306+J309+J312+J315+J319+J321+J326+J331+J334</f>
        <v>377483.45999999996</v>
      </c>
      <c r="K184" s="125">
        <f t="shared" si="97"/>
        <v>16800</v>
      </c>
      <c r="L184" s="123" t="s">
        <v>423</v>
      </c>
      <c r="M184" s="123" t="s">
        <v>423</v>
      </c>
      <c r="N184" s="126" t="s">
        <v>423</v>
      </c>
      <c r="O184" s="127">
        <f>O185+O221+O226+O245+O257+O260+O276+O280+O282+O284+O286+O288+O291+O294+O296+O302+O306+O309+O312+O315+O319+O321+O326+O331+O334</f>
        <v>1485465801.8600001</v>
      </c>
      <c r="P184" s="127">
        <f t="shared" ref="P184:S184" si="98">P185+P221+P226+P245+P257+P260+P276+P280+P282+P284+P286+P288+P291+P294+P296+P302+P306+P309+P312+P315+P319+P321+P326+P331+P334</f>
        <v>0</v>
      </c>
      <c r="Q184" s="127">
        <f t="shared" si="98"/>
        <v>0</v>
      </c>
      <c r="R184" s="127">
        <f t="shared" si="98"/>
        <v>0</v>
      </c>
      <c r="S184" s="127">
        <f t="shared" si="98"/>
        <v>1485465801.8600001</v>
      </c>
      <c r="T184" s="128">
        <f t="shared" si="2"/>
        <v>3262.1921928047186</v>
      </c>
      <c r="U184" s="128">
        <f>MAX(U185:U334)</f>
        <v>18687.41</v>
      </c>
      <c r="V184" s="129"/>
    </row>
    <row r="185" spans="1:96" ht="35.25" x14ac:dyDescent="0.5">
      <c r="B185" s="122" t="s">
        <v>414</v>
      </c>
      <c r="C185" s="130"/>
      <c r="D185" s="123" t="s">
        <v>423</v>
      </c>
      <c r="E185" s="123" t="s">
        <v>423</v>
      </c>
      <c r="F185" s="123" t="s">
        <v>423</v>
      </c>
      <c r="G185" s="123" t="s">
        <v>423</v>
      </c>
      <c r="H185" s="123" t="s">
        <v>423</v>
      </c>
      <c r="I185" s="124">
        <f>SUM(I186:I220)</f>
        <v>136033.30000000002</v>
      </c>
      <c r="J185" s="124">
        <f t="shared" ref="J185:K185" si="99">SUM(J186:J220)</f>
        <v>111447.29</v>
      </c>
      <c r="K185" s="125">
        <f t="shared" si="99"/>
        <v>5323</v>
      </c>
      <c r="L185" s="123" t="s">
        <v>423</v>
      </c>
      <c r="M185" s="123" t="s">
        <v>423</v>
      </c>
      <c r="N185" s="126" t="s">
        <v>423</v>
      </c>
      <c r="O185" s="127">
        <f>SUM(O186:O220)</f>
        <v>339320692.25000012</v>
      </c>
      <c r="P185" s="127">
        <f t="shared" ref="P185:S185" si="100">SUM(P186:P220)</f>
        <v>0</v>
      </c>
      <c r="Q185" s="127">
        <f t="shared" si="100"/>
        <v>0</v>
      </c>
      <c r="R185" s="127">
        <f t="shared" si="100"/>
        <v>0</v>
      </c>
      <c r="S185" s="127">
        <f t="shared" si="100"/>
        <v>339320692.25000012</v>
      </c>
      <c r="T185" s="128">
        <f t="shared" si="2"/>
        <v>2494.3943302853058</v>
      </c>
      <c r="U185" s="128">
        <f>MAX(U186:U220)</f>
        <v>17662.169999999998</v>
      </c>
      <c r="V185" s="129"/>
    </row>
    <row r="186" spans="1:96" ht="35.25" x14ac:dyDescent="0.5">
      <c r="A186">
        <v>1</v>
      </c>
      <c r="B186" s="131">
        <f>SUBTOTAL(9,$A$186:A186)</f>
        <v>1</v>
      </c>
      <c r="C186" s="9" t="s">
        <v>58</v>
      </c>
      <c r="D186" s="123"/>
      <c r="E186" s="123">
        <v>1960</v>
      </c>
      <c r="F186" s="123" t="s">
        <v>420</v>
      </c>
      <c r="G186" s="123">
        <v>4</v>
      </c>
      <c r="H186" s="123">
        <v>2</v>
      </c>
      <c r="I186" s="124">
        <v>1341.8</v>
      </c>
      <c r="J186" s="124">
        <v>1245.5999999999999</v>
      </c>
      <c r="K186" s="125">
        <v>62</v>
      </c>
      <c r="L186" s="123" t="s">
        <v>418</v>
      </c>
      <c r="M186" s="123" t="s">
        <v>424</v>
      </c>
      <c r="N186" s="126" t="s">
        <v>560</v>
      </c>
      <c r="O186" s="128">
        <v>12959114.83</v>
      </c>
      <c r="P186" s="128">
        <v>0</v>
      </c>
      <c r="Q186" s="128">
        <v>0</v>
      </c>
      <c r="R186" s="128">
        <v>0</v>
      </c>
      <c r="S186" s="128">
        <f t="shared" si="3"/>
        <v>12959114.83</v>
      </c>
      <c r="T186" s="128">
        <f t="shared" si="2"/>
        <v>9658.0077731405581</v>
      </c>
      <c r="U186" s="128">
        <v>9658.48</v>
      </c>
      <c r="V186" s="129"/>
    </row>
    <row r="187" spans="1:96" ht="35.25" x14ac:dyDescent="0.5">
      <c r="A187">
        <v>1</v>
      </c>
      <c r="B187" s="131">
        <f>SUBTOTAL(9,$A$186:A187)</f>
        <v>2</v>
      </c>
      <c r="C187" s="9" t="s">
        <v>59</v>
      </c>
      <c r="D187" s="123"/>
      <c r="E187" s="123">
        <v>1954</v>
      </c>
      <c r="F187" s="123" t="s">
        <v>420</v>
      </c>
      <c r="G187" s="123">
        <v>4</v>
      </c>
      <c r="H187" s="123">
        <v>7</v>
      </c>
      <c r="I187" s="124">
        <v>6216.1</v>
      </c>
      <c r="J187" s="124">
        <v>2785.9</v>
      </c>
      <c r="K187" s="125">
        <v>169</v>
      </c>
      <c r="L187" s="123" t="s">
        <v>418</v>
      </c>
      <c r="M187" s="123" t="s">
        <v>424</v>
      </c>
      <c r="N187" s="126" t="s">
        <v>441</v>
      </c>
      <c r="O187" s="128">
        <v>23706706.25</v>
      </c>
      <c r="P187" s="128">
        <v>0</v>
      </c>
      <c r="Q187" s="128">
        <v>0</v>
      </c>
      <c r="R187" s="128">
        <v>0</v>
      </c>
      <c r="S187" s="128">
        <f t="shared" si="3"/>
        <v>23706706.25</v>
      </c>
      <c r="T187" s="128">
        <f t="shared" si="2"/>
        <v>3813.7588278824342</v>
      </c>
      <c r="U187" s="128">
        <v>4910.2700000000004</v>
      </c>
      <c r="V187" s="129"/>
    </row>
    <row r="188" spans="1:96" ht="35.25" x14ac:dyDescent="0.5">
      <c r="A188">
        <v>1</v>
      </c>
      <c r="B188" s="131">
        <f>SUBTOTAL(9,$A$186:A188)</f>
        <v>3</v>
      </c>
      <c r="C188" s="10" t="s">
        <v>60</v>
      </c>
      <c r="D188" s="123"/>
      <c r="E188" s="123">
        <v>1949</v>
      </c>
      <c r="F188" s="123" t="s">
        <v>420</v>
      </c>
      <c r="G188" s="123">
        <v>2</v>
      </c>
      <c r="H188" s="123">
        <v>2</v>
      </c>
      <c r="I188" s="124">
        <v>873.7</v>
      </c>
      <c r="J188" s="124">
        <v>803.1</v>
      </c>
      <c r="K188" s="125">
        <v>31</v>
      </c>
      <c r="L188" s="123" t="s">
        <v>418</v>
      </c>
      <c r="M188" s="123" t="s">
        <v>424</v>
      </c>
      <c r="N188" s="126" t="s">
        <v>586</v>
      </c>
      <c r="O188" s="128">
        <v>10179912.59</v>
      </c>
      <c r="P188" s="128">
        <v>0</v>
      </c>
      <c r="Q188" s="128">
        <v>0</v>
      </c>
      <c r="R188" s="128">
        <v>0</v>
      </c>
      <c r="S188" s="128">
        <f t="shared" si="3"/>
        <v>10179912.59</v>
      </c>
      <c r="T188" s="128">
        <f t="shared" si="2"/>
        <v>11651.496612109418</v>
      </c>
      <c r="U188" s="128">
        <v>11652.06</v>
      </c>
      <c r="V188" s="129"/>
    </row>
    <row r="189" spans="1:96" ht="35.25" x14ac:dyDescent="0.5">
      <c r="A189">
        <v>1</v>
      </c>
      <c r="B189" s="131">
        <f>SUBTOTAL(9,$A$186:A189)</f>
        <v>4</v>
      </c>
      <c r="C189" s="10" t="s">
        <v>61</v>
      </c>
      <c r="D189" s="123"/>
      <c r="E189" s="123">
        <v>1961</v>
      </c>
      <c r="F189" s="123" t="s">
        <v>420</v>
      </c>
      <c r="G189" s="123">
        <v>3</v>
      </c>
      <c r="H189" s="123">
        <v>2</v>
      </c>
      <c r="I189" s="124">
        <v>1487.1</v>
      </c>
      <c r="J189" s="124">
        <v>1117.1300000000001</v>
      </c>
      <c r="K189" s="125">
        <v>94</v>
      </c>
      <c r="L189" s="123" t="s">
        <v>418</v>
      </c>
      <c r="M189" s="123" t="s">
        <v>424</v>
      </c>
      <c r="N189" s="126" t="s">
        <v>586</v>
      </c>
      <c r="O189" s="128">
        <v>9926626.3000000007</v>
      </c>
      <c r="P189" s="128">
        <v>0</v>
      </c>
      <c r="Q189" s="128">
        <v>0</v>
      </c>
      <c r="R189" s="128">
        <v>0</v>
      </c>
      <c r="S189" s="128">
        <f t="shared" si="3"/>
        <v>9926626.3000000007</v>
      </c>
      <c r="T189" s="128">
        <f t="shared" si="2"/>
        <v>6675.1572187478996</v>
      </c>
      <c r="U189" s="128">
        <v>6801.08</v>
      </c>
      <c r="V189" s="129"/>
    </row>
    <row r="190" spans="1:96" ht="35.25" x14ac:dyDescent="0.5">
      <c r="A190">
        <v>1</v>
      </c>
      <c r="B190" s="131">
        <f>SUBTOTAL(9,$A$186:A190)</f>
        <v>5</v>
      </c>
      <c r="C190" s="10" t="s">
        <v>62</v>
      </c>
      <c r="D190" s="123"/>
      <c r="E190" s="123">
        <v>1993</v>
      </c>
      <c r="F190" s="123" t="s">
        <v>420</v>
      </c>
      <c r="G190" s="123">
        <v>6</v>
      </c>
      <c r="H190" s="123">
        <v>1</v>
      </c>
      <c r="I190" s="124">
        <v>3664.3</v>
      </c>
      <c r="J190" s="124">
        <v>2532.1999999999998</v>
      </c>
      <c r="K190" s="125">
        <v>150</v>
      </c>
      <c r="L190" s="123" t="s">
        <v>418</v>
      </c>
      <c r="M190" s="123" t="s">
        <v>424</v>
      </c>
      <c r="N190" s="126" t="s">
        <v>586</v>
      </c>
      <c r="O190" s="128">
        <v>21612581</v>
      </c>
      <c r="P190" s="128">
        <v>0</v>
      </c>
      <c r="Q190" s="128">
        <v>0</v>
      </c>
      <c r="R190" s="128">
        <v>0</v>
      </c>
      <c r="S190" s="128">
        <f t="shared" si="3"/>
        <v>21612581</v>
      </c>
      <c r="T190" s="128">
        <f t="shared" si="2"/>
        <v>5898.1472586851514</v>
      </c>
      <c r="U190" s="128">
        <v>6388.9</v>
      </c>
      <c r="V190" s="129"/>
    </row>
    <row r="191" spans="1:96" ht="35.25" x14ac:dyDescent="0.5">
      <c r="A191">
        <v>1</v>
      </c>
      <c r="B191" s="131">
        <f>SUBTOTAL(9,$A$186:A191)</f>
        <v>6</v>
      </c>
      <c r="C191" s="10" t="s">
        <v>63</v>
      </c>
      <c r="D191" s="123"/>
      <c r="E191" s="123">
        <v>1986</v>
      </c>
      <c r="F191" s="123" t="s">
        <v>421</v>
      </c>
      <c r="G191" s="123">
        <v>9</v>
      </c>
      <c r="H191" s="123">
        <v>3</v>
      </c>
      <c r="I191" s="124">
        <v>6162.7</v>
      </c>
      <c r="J191" s="124">
        <v>5794.4</v>
      </c>
      <c r="K191" s="125">
        <v>286</v>
      </c>
      <c r="L191" s="123" t="s">
        <v>418</v>
      </c>
      <c r="M191" s="123" t="s">
        <v>424</v>
      </c>
      <c r="N191" s="126" t="s">
        <v>554</v>
      </c>
      <c r="O191" s="128">
        <v>11962768.629999999</v>
      </c>
      <c r="P191" s="128">
        <v>0</v>
      </c>
      <c r="Q191" s="128">
        <v>0</v>
      </c>
      <c r="R191" s="128">
        <v>0</v>
      </c>
      <c r="S191" s="128">
        <f t="shared" si="3"/>
        <v>11962768.629999999</v>
      </c>
      <c r="T191" s="128">
        <f t="shared" si="2"/>
        <v>1941.1570626511107</v>
      </c>
      <c r="U191" s="128">
        <v>1941.25</v>
      </c>
      <c r="V191" s="129"/>
    </row>
    <row r="192" spans="1:96" ht="35.25" x14ac:dyDescent="0.5">
      <c r="A192">
        <v>1</v>
      </c>
      <c r="B192" s="131">
        <f>SUBTOTAL(9,$A$186:A192)</f>
        <v>7</v>
      </c>
      <c r="C192" s="10" t="s">
        <v>64</v>
      </c>
      <c r="D192" s="123"/>
      <c r="E192" s="123">
        <v>1957</v>
      </c>
      <c r="F192" s="123" t="s">
        <v>420</v>
      </c>
      <c r="G192" s="123">
        <v>4</v>
      </c>
      <c r="H192" s="123">
        <v>4</v>
      </c>
      <c r="I192" s="124">
        <v>2945.3</v>
      </c>
      <c r="J192" s="124">
        <v>2313.9</v>
      </c>
      <c r="K192" s="125">
        <v>109</v>
      </c>
      <c r="L192" s="123" t="s">
        <v>418</v>
      </c>
      <c r="M192" s="123" t="s">
        <v>424</v>
      </c>
      <c r="N192" s="126" t="s">
        <v>550</v>
      </c>
      <c r="O192" s="128">
        <v>20856102.009999998</v>
      </c>
      <c r="P192" s="128">
        <v>0</v>
      </c>
      <c r="Q192" s="128">
        <v>0</v>
      </c>
      <c r="R192" s="128">
        <v>0</v>
      </c>
      <c r="S192" s="128">
        <f t="shared" si="3"/>
        <v>20856102.009999998</v>
      </c>
      <c r="T192" s="128">
        <f t="shared" si="2"/>
        <v>7081.1469154245733</v>
      </c>
      <c r="U192" s="128">
        <v>8362.64</v>
      </c>
      <c r="V192" s="129"/>
    </row>
    <row r="193" spans="1:22" ht="35.25" x14ac:dyDescent="0.5">
      <c r="A193">
        <v>1</v>
      </c>
      <c r="B193" s="131">
        <f>SUBTOTAL(9,$A$186:A193)</f>
        <v>8</v>
      </c>
      <c r="C193" s="10" t="s">
        <v>65</v>
      </c>
      <c r="D193" s="123"/>
      <c r="E193" s="123">
        <v>1976</v>
      </c>
      <c r="F193" s="123" t="s">
        <v>420</v>
      </c>
      <c r="G193" s="123">
        <v>5</v>
      </c>
      <c r="H193" s="123">
        <v>1</v>
      </c>
      <c r="I193" s="124">
        <v>1393.7</v>
      </c>
      <c r="J193" s="124">
        <v>1019.2</v>
      </c>
      <c r="K193" s="125">
        <v>255</v>
      </c>
      <c r="L193" s="123" t="s">
        <v>418</v>
      </c>
      <c r="M193" s="123" t="s">
        <v>424</v>
      </c>
      <c r="N193" s="126" t="s">
        <v>586</v>
      </c>
      <c r="O193" s="128">
        <v>1748115.43</v>
      </c>
      <c r="P193" s="128">
        <v>0</v>
      </c>
      <c r="Q193" s="128">
        <v>0</v>
      </c>
      <c r="R193" s="128">
        <v>0</v>
      </c>
      <c r="S193" s="128">
        <f t="shared" si="3"/>
        <v>1748115.43</v>
      </c>
      <c r="T193" s="128">
        <f t="shared" si="2"/>
        <v>1254.2982205639664</v>
      </c>
      <c r="U193" s="128">
        <v>1254.2982205639664</v>
      </c>
      <c r="V193" s="129"/>
    </row>
    <row r="194" spans="1:22" ht="35.25" x14ac:dyDescent="0.5">
      <c r="A194">
        <v>1</v>
      </c>
      <c r="B194" s="131">
        <f>SUBTOTAL(9,$A$186:A194)</f>
        <v>9</v>
      </c>
      <c r="C194" s="10" t="s">
        <v>66</v>
      </c>
      <c r="D194" s="123"/>
      <c r="E194" s="123">
        <v>1988</v>
      </c>
      <c r="F194" s="123" t="s">
        <v>421</v>
      </c>
      <c r="G194" s="123">
        <v>10</v>
      </c>
      <c r="H194" s="123">
        <v>2</v>
      </c>
      <c r="I194" s="124">
        <v>4337</v>
      </c>
      <c r="J194" s="124">
        <v>4280.8999999999996</v>
      </c>
      <c r="K194" s="125">
        <v>208</v>
      </c>
      <c r="L194" s="123" t="s">
        <v>418</v>
      </c>
      <c r="M194" s="123" t="s">
        <v>424</v>
      </c>
      <c r="N194" s="126" t="s">
        <v>554</v>
      </c>
      <c r="O194" s="128">
        <v>9440888.9700000007</v>
      </c>
      <c r="P194" s="128">
        <v>0</v>
      </c>
      <c r="Q194" s="128">
        <v>0</v>
      </c>
      <c r="R194" s="128">
        <v>0</v>
      </c>
      <c r="S194" s="128">
        <f t="shared" si="3"/>
        <v>9440888.9700000007</v>
      </c>
      <c r="T194" s="128">
        <f t="shared" si="2"/>
        <v>2176.8247567442936</v>
      </c>
      <c r="U194" s="128">
        <v>2176.9299999999998</v>
      </c>
      <c r="V194" s="129"/>
    </row>
    <row r="195" spans="1:22" ht="35.25" x14ac:dyDescent="0.5">
      <c r="A195">
        <v>1</v>
      </c>
      <c r="B195" s="131">
        <f>SUBTOTAL(9,$A$186:A195)</f>
        <v>10</v>
      </c>
      <c r="C195" s="10" t="s">
        <v>67</v>
      </c>
      <c r="D195" s="123"/>
      <c r="E195" s="123">
        <v>1967</v>
      </c>
      <c r="F195" s="123" t="s">
        <v>420</v>
      </c>
      <c r="G195" s="123">
        <v>5</v>
      </c>
      <c r="H195" s="123">
        <v>2</v>
      </c>
      <c r="I195" s="124">
        <v>2274.1999999999998</v>
      </c>
      <c r="J195" s="124">
        <v>1779.6</v>
      </c>
      <c r="K195" s="125">
        <v>98</v>
      </c>
      <c r="L195" s="123" t="s">
        <v>418</v>
      </c>
      <c r="M195" s="123" t="s">
        <v>424</v>
      </c>
      <c r="N195" s="126" t="s">
        <v>558</v>
      </c>
      <c r="O195" s="128">
        <v>7298992.54</v>
      </c>
      <c r="P195" s="128">
        <v>0</v>
      </c>
      <c r="Q195" s="128">
        <v>0</v>
      </c>
      <c r="R195" s="128">
        <v>0</v>
      </c>
      <c r="S195" s="128">
        <f t="shared" si="3"/>
        <v>7298992.54</v>
      </c>
      <c r="T195" s="128">
        <f t="shared" si="2"/>
        <v>3209.4769765192159</v>
      </c>
      <c r="U195" s="128">
        <v>3270.02</v>
      </c>
      <c r="V195" s="129"/>
    </row>
    <row r="196" spans="1:22" ht="35.25" x14ac:dyDescent="0.5">
      <c r="A196">
        <v>1</v>
      </c>
      <c r="B196" s="131">
        <f>SUBTOTAL(9,$A$186:A196)</f>
        <v>11</v>
      </c>
      <c r="C196" s="10" t="s">
        <v>68</v>
      </c>
      <c r="D196" s="123"/>
      <c r="E196" s="123">
        <v>1980</v>
      </c>
      <c r="F196" s="123" t="s">
        <v>420</v>
      </c>
      <c r="G196" s="123">
        <v>4</v>
      </c>
      <c r="H196" s="123">
        <v>1</v>
      </c>
      <c r="I196" s="124">
        <v>878.7</v>
      </c>
      <c r="J196" s="124">
        <v>776.6</v>
      </c>
      <c r="K196" s="125">
        <v>56</v>
      </c>
      <c r="L196" s="123" t="s">
        <v>418</v>
      </c>
      <c r="M196" s="123" t="s">
        <v>424</v>
      </c>
      <c r="N196" s="126" t="s">
        <v>563</v>
      </c>
      <c r="O196" s="128">
        <v>4747522.0799999991</v>
      </c>
      <c r="P196" s="128">
        <v>0</v>
      </c>
      <c r="Q196" s="128">
        <v>0</v>
      </c>
      <c r="R196" s="128">
        <v>0</v>
      </c>
      <c r="S196" s="128">
        <f t="shared" si="3"/>
        <v>4747522.0799999991</v>
      </c>
      <c r="T196" s="128">
        <f t="shared" si="2"/>
        <v>5402.8930010242393</v>
      </c>
      <c r="U196" s="128">
        <v>5504.81</v>
      </c>
      <c r="V196" s="129"/>
    </row>
    <row r="197" spans="1:22" ht="35.25" x14ac:dyDescent="0.5">
      <c r="A197">
        <v>1</v>
      </c>
      <c r="B197" s="131">
        <f>SUBTOTAL(9,$A$186:A197)</f>
        <v>12</v>
      </c>
      <c r="C197" s="10" t="s">
        <v>69</v>
      </c>
      <c r="D197" s="123"/>
      <c r="E197" s="123">
        <v>1986</v>
      </c>
      <c r="F197" s="123" t="s">
        <v>420</v>
      </c>
      <c r="G197" s="123">
        <v>5</v>
      </c>
      <c r="H197" s="123">
        <v>3</v>
      </c>
      <c r="I197" s="124">
        <v>2974.4</v>
      </c>
      <c r="J197" s="124">
        <v>2685.9</v>
      </c>
      <c r="K197" s="125">
        <v>84</v>
      </c>
      <c r="L197" s="123" t="s">
        <v>418</v>
      </c>
      <c r="M197" s="123" t="s">
        <v>424</v>
      </c>
      <c r="N197" s="126" t="s">
        <v>552</v>
      </c>
      <c r="O197" s="128">
        <v>13150365.290000001</v>
      </c>
      <c r="P197" s="128">
        <v>0</v>
      </c>
      <c r="Q197" s="128">
        <v>0</v>
      </c>
      <c r="R197" s="128">
        <v>0</v>
      </c>
      <c r="S197" s="128">
        <f t="shared" si="3"/>
        <v>13150365.290000001</v>
      </c>
      <c r="T197" s="128">
        <f t="shared" si="2"/>
        <v>4421.1825208445407</v>
      </c>
      <c r="U197" s="128">
        <v>4504.58</v>
      </c>
      <c r="V197" s="129"/>
    </row>
    <row r="198" spans="1:22" ht="35.25" x14ac:dyDescent="0.5">
      <c r="A198">
        <v>1</v>
      </c>
      <c r="B198" s="131">
        <f>SUBTOTAL(9,$A$186:A198)</f>
        <v>13</v>
      </c>
      <c r="C198" s="10" t="s">
        <v>70</v>
      </c>
      <c r="D198" s="123"/>
      <c r="E198" s="123">
        <v>1972</v>
      </c>
      <c r="F198" s="123" t="s">
        <v>420</v>
      </c>
      <c r="G198" s="123">
        <v>2</v>
      </c>
      <c r="H198" s="123">
        <v>2</v>
      </c>
      <c r="I198" s="124">
        <v>551</v>
      </c>
      <c r="J198" s="124">
        <v>502.5</v>
      </c>
      <c r="K198" s="125">
        <v>42</v>
      </c>
      <c r="L198" s="123" t="s">
        <v>418</v>
      </c>
      <c r="M198" s="123" t="s">
        <v>424</v>
      </c>
      <c r="N198" s="126" t="s">
        <v>563</v>
      </c>
      <c r="O198" s="128">
        <v>6981645.46</v>
      </c>
      <c r="P198" s="128">
        <v>0</v>
      </c>
      <c r="Q198" s="128">
        <v>0</v>
      </c>
      <c r="R198" s="128">
        <v>0</v>
      </c>
      <c r="S198" s="128">
        <f t="shared" si="3"/>
        <v>6981645.46</v>
      </c>
      <c r="T198" s="128">
        <f t="shared" si="2"/>
        <v>12670.862903811252</v>
      </c>
      <c r="U198" s="128">
        <v>12909.88</v>
      </c>
      <c r="V198" s="129"/>
    </row>
    <row r="199" spans="1:22" ht="35.25" x14ac:dyDescent="0.5">
      <c r="A199">
        <v>1</v>
      </c>
      <c r="B199" s="131">
        <f>SUBTOTAL(9,$A$186:A199)</f>
        <v>14</v>
      </c>
      <c r="C199" s="10" t="s">
        <v>71</v>
      </c>
      <c r="D199" s="123"/>
      <c r="E199" s="123">
        <v>1968</v>
      </c>
      <c r="F199" s="123" t="s">
        <v>420</v>
      </c>
      <c r="G199" s="123">
        <v>5</v>
      </c>
      <c r="H199" s="123">
        <v>5</v>
      </c>
      <c r="I199" s="124">
        <v>3610.7</v>
      </c>
      <c r="J199" s="124">
        <v>3192.56</v>
      </c>
      <c r="K199" s="125">
        <v>203</v>
      </c>
      <c r="L199" s="123" t="s">
        <v>418</v>
      </c>
      <c r="M199" s="123" t="s">
        <v>424</v>
      </c>
      <c r="N199" s="126" t="s">
        <v>561</v>
      </c>
      <c r="O199" s="128">
        <v>13708684.630000001</v>
      </c>
      <c r="P199" s="128">
        <v>0</v>
      </c>
      <c r="Q199" s="128">
        <v>0</v>
      </c>
      <c r="R199" s="128">
        <v>0</v>
      </c>
      <c r="S199" s="128">
        <f t="shared" si="3"/>
        <v>13708684.630000001</v>
      </c>
      <c r="T199" s="128">
        <f t="shared" si="2"/>
        <v>3796.6833661062956</v>
      </c>
      <c r="U199" s="128">
        <v>3796.87</v>
      </c>
      <c r="V199" s="129"/>
    </row>
    <row r="200" spans="1:22" ht="35.25" x14ac:dyDescent="0.5">
      <c r="A200">
        <v>1</v>
      </c>
      <c r="B200" s="131">
        <f>SUBTOTAL(9,$A$186:A200)</f>
        <v>15</v>
      </c>
      <c r="C200" s="10" t="s">
        <v>72</v>
      </c>
      <c r="D200" s="123"/>
      <c r="E200" s="123">
        <v>2000</v>
      </c>
      <c r="F200" s="123" t="s">
        <v>420</v>
      </c>
      <c r="G200" s="123">
        <v>10</v>
      </c>
      <c r="H200" s="123">
        <v>3</v>
      </c>
      <c r="I200" s="124">
        <v>7042.6</v>
      </c>
      <c r="J200" s="124">
        <v>6031.4</v>
      </c>
      <c r="K200" s="125">
        <v>120</v>
      </c>
      <c r="L200" s="123" t="s">
        <v>418</v>
      </c>
      <c r="M200" s="123" t="s">
        <v>424</v>
      </c>
      <c r="N200" s="126" t="s">
        <v>564</v>
      </c>
      <c r="O200" s="128">
        <v>22200340.390000001</v>
      </c>
      <c r="P200" s="128">
        <v>0</v>
      </c>
      <c r="Q200" s="128">
        <v>0</v>
      </c>
      <c r="R200" s="128">
        <v>0</v>
      </c>
      <c r="S200" s="128">
        <f t="shared" si="3"/>
        <v>22200340.390000001</v>
      </c>
      <c r="T200" s="128">
        <f t="shared" si="2"/>
        <v>3152.2932425524664</v>
      </c>
      <c r="U200" s="128">
        <v>3180.72</v>
      </c>
      <c r="V200" s="129"/>
    </row>
    <row r="201" spans="1:22" ht="35.25" x14ac:dyDescent="0.5">
      <c r="A201">
        <v>1</v>
      </c>
      <c r="B201" s="131">
        <f>SUBTOTAL(9,$A$186:A201)</f>
        <v>16</v>
      </c>
      <c r="C201" s="10" t="s">
        <v>73</v>
      </c>
      <c r="D201" s="123"/>
      <c r="E201" s="123">
        <v>1968</v>
      </c>
      <c r="F201" s="123" t="s">
        <v>420</v>
      </c>
      <c r="G201" s="123">
        <v>5</v>
      </c>
      <c r="H201" s="123">
        <v>8</v>
      </c>
      <c r="I201" s="124">
        <v>6972.6</v>
      </c>
      <c r="J201" s="124">
        <v>6354.1</v>
      </c>
      <c r="K201" s="125">
        <v>278</v>
      </c>
      <c r="L201" s="123" t="s">
        <v>418</v>
      </c>
      <c r="M201" s="123" t="s">
        <v>424</v>
      </c>
      <c r="N201" s="126" t="s">
        <v>565</v>
      </c>
      <c r="O201" s="128">
        <v>8740282.9900000002</v>
      </c>
      <c r="P201" s="128">
        <v>0</v>
      </c>
      <c r="Q201" s="128">
        <v>0</v>
      </c>
      <c r="R201" s="128">
        <v>0</v>
      </c>
      <c r="S201" s="128">
        <f t="shared" si="3"/>
        <v>8740282.9900000002</v>
      </c>
      <c r="T201" s="128">
        <f t="shared" si="2"/>
        <v>1253.5184852135501</v>
      </c>
      <c r="U201" s="128">
        <v>1375.6</v>
      </c>
      <c r="V201" s="129"/>
    </row>
    <row r="202" spans="1:22" ht="35.25" x14ac:dyDescent="0.5">
      <c r="A202">
        <v>1</v>
      </c>
      <c r="B202" s="131">
        <f>SUBTOTAL(9,$A$186:A202)</f>
        <v>17</v>
      </c>
      <c r="C202" s="10" t="s">
        <v>74</v>
      </c>
      <c r="D202" s="123"/>
      <c r="E202" s="123">
        <v>1975</v>
      </c>
      <c r="F202" s="123" t="s">
        <v>420</v>
      </c>
      <c r="G202" s="123">
        <v>5</v>
      </c>
      <c r="H202" s="123">
        <v>4</v>
      </c>
      <c r="I202" s="124">
        <v>4680</v>
      </c>
      <c r="J202" s="124">
        <v>4029.3</v>
      </c>
      <c r="K202" s="125">
        <v>128</v>
      </c>
      <c r="L202" s="123" t="s">
        <v>418</v>
      </c>
      <c r="M202" s="123" t="s">
        <v>424</v>
      </c>
      <c r="N202" s="126" t="s">
        <v>561</v>
      </c>
      <c r="O202" s="128">
        <v>13763291.92</v>
      </c>
      <c r="P202" s="128">
        <v>0</v>
      </c>
      <c r="Q202" s="128">
        <v>0</v>
      </c>
      <c r="R202" s="128">
        <v>0</v>
      </c>
      <c r="S202" s="128">
        <f t="shared" si="3"/>
        <v>13763291.92</v>
      </c>
      <c r="T202" s="128">
        <f t="shared" si="2"/>
        <v>2940.8743418803419</v>
      </c>
      <c r="U202" s="128">
        <v>3039.89</v>
      </c>
      <c r="V202" s="129"/>
    </row>
    <row r="203" spans="1:22" ht="35.25" x14ac:dyDescent="0.5">
      <c r="A203">
        <v>1</v>
      </c>
      <c r="B203" s="131">
        <f>SUBTOTAL(9,$A$186:A203)</f>
        <v>18</v>
      </c>
      <c r="C203" s="10" t="s">
        <v>75</v>
      </c>
      <c r="D203" s="123"/>
      <c r="E203" s="123">
        <v>1950</v>
      </c>
      <c r="F203" s="123" t="s">
        <v>420</v>
      </c>
      <c r="G203" s="123">
        <v>4</v>
      </c>
      <c r="H203" s="123">
        <v>2</v>
      </c>
      <c r="I203" s="124">
        <v>2199.1999999999998</v>
      </c>
      <c r="J203" s="124">
        <v>1877.7</v>
      </c>
      <c r="K203" s="125">
        <v>78</v>
      </c>
      <c r="L203" s="123" t="s">
        <v>418</v>
      </c>
      <c r="M203" s="123" t="s">
        <v>424</v>
      </c>
      <c r="N203" s="126" t="s">
        <v>556</v>
      </c>
      <c r="O203" s="128">
        <v>12389239.58</v>
      </c>
      <c r="P203" s="128">
        <v>0</v>
      </c>
      <c r="Q203" s="128">
        <v>0</v>
      </c>
      <c r="R203" s="128">
        <v>0</v>
      </c>
      <c r="S203" s="128">
        <f t="shared" si="3"/>
        <v>12389239.58</v>
      </c>
      <c r="T203" s="128">
        <f t="shared" si="2"/>
        <v>5633.521089487087</v>
      </c>
      <c r="U203" s="128">
        <v>5739.79</v>
      </c>
      <c r="V203" s="129"/>
    </row>
    <row r="204" spans="1:22" ht="35.25" x14ac:dyDescent="0.5">
      <c r="A204">
        <v>1</v>
      </c>
      <c r="B204" s="131">
        <f>SUBTOTAL(9,$A$186:A204)</f>
        <v>19</v>
      </c>
      <c r="C204" s="10" t="s">
        <v>76</v>
      </c>
      <c r="D204" s="123"/>
      <c r="E204" s="123">
        <v>1965</v>
      </c>
      <c r="F204" s="123" t="s">
        <v>420</v>
      </c>
      <c r="G204" s="123">
        <v>2</v>
      </c>
      <c r="H204" s="123">
        <v>2</v>
      </c>
      <c r="I204" s="124">
        <v>355.8</v>
      </c>
      <c r="J204" s="124">
        <v>325.89999999999998</v>
      </c>
      <c r="K204" s="125">
        <v>20</v>
      </c>
      <c r="L204" s="123" t="s">
        <v>418</v>
      </c>
      <c r="M204" s="123" t="s">
        <v>424</v>
      </c>
      <c r="N204" s="126" t="s">
        <v>441</v>
      </c>
      <c r="O204" s="128">
        <v>6283900.4400000004</v>
      </c>
      <c r="P204" s="128">
        <v>0</v>
      </c>
      <c r="Q204" s="128">
        <v>0</v>
      </c>
      <c r="R204" s="128">
        <v>0</v>
      </c>
      <c r="S204" s="128">
        <f t="shared" si="3"/>
        <v>6283900.4400000004</v>
      </c>
      <c r="T204" s="128">
        <f t="shared" si="2"/>
        <v>17661.327824620574</v>
      </c>
      <c r="U204" s="128">
        <v>17662.169999999998</v>
      </c>
      <c r="V204" s="129"/>
    </row>
    <row r="205" spans="1:22" ht="35.25" x14ac:dyDescent="0.5">
      <c r="A205">
        <v>1</v>
      </c>
      <c r="B205" s="131">
        <f>SUBTOTAL(9,$A$186:A205)</f>
        <v>20</v>
      </c>
      <c r="C205" s="10" t="s">
        <v>77</v>
      </c>
      <c r="D205" s="123"/>
      <c r="E205" s="123">
        <v>1990</v>
      </c>
      <c r="F205" s="123" t="s">
        <v>421</v>
      </c>
      <c r="G205" s="123">
        <v>9</v>
      </c>
      <c r="H205" s="123">
        <v>5</v>
      </c>
      <c r="I205" s="124">
        <v>13283.7</v>
      </c>
      <c r="J205" s="124">
        <v>10256.200000000001</v>
      </c>
      <c r="K205" s="125">
        <v>443</v>
      </c>
      <c r="L205" s="123" t="s">
        <v>418</v>
      </c>
      <c r="M205" s="123" t="s">
        <v>424</v>
      </c>
      <c r="N205" s="126" t="s">
        <v>559</v>
      </c>
      <c r="O205" s="128">
        <v>19999023.359999999</v>
      </c>
      <c r="P205" s="128">
        <v>0</v>
      </c>
      <c r="Q205" s="128">
        <v>0</v>
      </c>
      <c r="R205" s="128">
        <v>0</v>
      </c>
      <c r="S205" s="128">
        <f t="shared" si="3"/>
        <v>19999023.359999999</v>
      </c>
      <c r="T205" s="128">
        <f t="shared" si="2"/>
        <v>1505.5310914880642</v>
      </c>
      <c r="U205" s="128">
        <v>1694.11</v>
      </c>
      <c r="V205" s="129"/>
    </row>
    <row r="206" spans="1:22" ht="35.25" x14ac:dyDescent="0.5">
      <c r="A206">
        <v>1</v>
      </c>
      <c r="B206" s="131">
        <f>SUBTOTAL(9,$A$186:A206)</f>
        <v>21</v>
      </c>
      <c r="C206" s="10" t="s">
        <v>78</v>
      </c>
      <c r="D206" s="123"/>
      <c r="E206" s="123">
        <v>1984</v>
      </c>
      <c r="F206" s="123" t="s">
        <v>421</v>
      </c>
      <c r="G206" s="123">
        <v>5</v>
      </c>
      <c r="H206" s="123">
        <v>7</v>
      </c>
      <c r="I206" s="124">
        <v>5997.9</v>
      </c>
      <c r="J206" s="124">
        <v>5403.5</v>
      </c>
      <c r="K206" s="125">
        <v>219</v>
      </c>
      <c r="L206" s="123" t="s">
        <v>418</v>
      </c>
      <c r="M206" s="123" t="s">
        <v>424</v>
      </c>
      <c r="N206" s="126" t="s">
        <v>559</v>
      </c>
      <c r="O206" s="128">
        <v>7562549.9699999997</v>
      </c>
      <c r="P206" s="128">
        <v>0</v>
      </c>
      <c r="Q206" s="128">
        <v>0</v>
      </c>
      <c r="R206" s="128">
        <v>0</v>
      </c>
      <c r="S206" s="128">
        <f t="shared" si="3"/>
        <v>7562549.9699999997</v>
      </c>
      <c r="T206" s="128">
        <f t="shared" si="2"/>
        <v>1260.8662982043716</v>
      </c>
      <c r="U206" s="128">
        <v>1375.6</v>
      </c>
      <c r="V206" s="129"/>
    </row>
    <row r="207" spans="1:22" ht="35.25" x14ac:dyDescent="0.5">
      <c r="A207">
        <v>1</v>
      </c>
      <c r="B207" s="131">
        <f>SUBTOTAL(9,$A$186:A207)</f>
        <v>22</v>
      </c>
      <c r="C207" s="10" t="s">
        <v>80</v>
      </c>
      <c r="D207" s="123"/>
      <c r="E207" s="123">
        <v>1961</v>
      </c>
      <c r="F207" s="123" t="s">
        <v>420</v>
      </c>
      <c r="G207" s="123">
        <v>2</v>
      </c>
      <c r="H207" s="123">
        <v>2</v>
      </c>
      <c r="I207" s="124">
        <v>756.5</v>
      </c>
      <c r="J207" s="124">
        <v>702.9</v>
      </c>
      <c r="K207" s="125">
        <v>23</v>
      </c>
      <c r="L207" s="123" t="s">
        <v>418</v>
      </c>
      <c r="M207" s="123" t="s">
        <v>424</v>
      </c>
      <c r="N207" s="126" t="s">
        <v>551</v>
      </c>
      <c r="O207" s="128">
        <v>7590951.8399999999</v>
      </c>
      <c r="P207" s="128">
        <v>0</v>
      </c>
      <c r="Q207" s="128">
        <v>0</v>
      </c>
      <c r="R207" s="128">
        <v>0</v>
      </c>
      <c r="S207" s="128">
        <f t="shared" si="3"/>
        <v>7590951.8399999999</v>
      </c>
      <c r="T207" s="128">
        <f t="shared" si="2"/>
        <v>10034.305142101784</v>
      </c>
      <c r="U207" s="128">
        <v>10223.59</v>
      </c>
      <c r="V207" s="129"/>
    </row>
    <row r="208" spans="1:22" ht="35.25" x14ac:dyDescent="0.5">
      <c r="A208">
        <v>1</v>
      </c>
      <c r="B208" s="131">
        <f>SUBTOTAL(9,$A$186:A208)</f>
        <v>23</v>
      </c>
      <c r="C208" s="10" t="s">
        <v>81</v>
      </c>
      <c r="D208" s="123"/>
      <c r="E208" s="123">
        <v>1967</v>
      </c>
      <c r="F208" s="123" t="s">
        <v>420</v>
      </c>
      <c r="G208" s="123">
        <v>2</v>
      </c>
      <c r="H208" s="123">
        <v>2</v>
      </c>
      <c r="I208" s="124">
        <v>383.1</v>
      </c>
      <c r="J208" s="124">
        <v>257.60000000000002</v>
      </c>
      <c r="K208" s="125">
        <v>14</v>
      </c>
      <c r="L208" s="123" t="s">
        <v>418</v>
      </c>
      <c r="M208" s="123" t="s">
        <v>424</v>
      </c>
      <c r="N208" s="126" t="s">
        <v>441</v>
      </c>
      <c r="O208" s="128">
        <v>4760214.9700000007</v>
      </c>
      <c r="P208" s="128">
        <v>0</v>
      </c>
      <c r="Q208" s="128">
        <v>0</v>
      </c>
      <c r="R208" s="128">
        <v>0</v>
      </c>
      <c r="S208" s="128">
        <f t="shared" si="3"/>
        <v>4760214.9700000007</v>
      </c>
      <c r="T208" s="128">
        <f t="shared" si="2"/>
        <v>12425.515452884365</v>
      </c>
      <c r="U208" s="128">
        <v>12659.9</v>
      </c>
      <c r="V208" s="129"/>
    </row>
    <row r="209" spans="1:96" ht="35.25" x14ac:dyDescent="0.5">
      <c r="A209">
        <v>1</v>
      </c>
      <c r="B209" s="131">
        <f>SUBTOTAL(9,$A$186:A209)</f>
        <v>24</v>
      </c>
      <c r="C209" s="10" t="s">
        <v>82</v>
      </c>
      <c r="D209" s="123"/>
      <c r="E209" s="123">
        <v>1961</v>
      </c>
      <c r="F209" s="123" t="s">
        <v>420</v>
      </c>
      <c r="G209" s="123">
        <v>3</v>
      </c>
      <c r="H209" s="123">
        <v>1</v>
      </c>
      <c r="I209" s="124">
        <v>1675.9</v>
      </c>
      <c r="J209" s="124">
        <v>1225.9000000000001</v>
      </c>
      <c r="K209" s="125">
        <v>57</v>
      </c>
      <c r="L209" s="123" t="s">
        <v>418</v>
      </c>
      <c r="M209" s="123" t="s">
        <v>425</v>
      </c>
      <c r="N209" s="126" t="s">
        <v>426</v>
      </c>
      <c r="O209" s="128">
        <v>7400543.8800000008</v>
      </c>
      <c r="P209" s="128">
        <v>0</v>
      </c>
      <c r="Q209" s="128">
        <v>0</v>
      </c>
      <c r="R209" s="128">
        <v>0</v>
      </c>
      <c r="S209" s="128">
        <f t="shared" si="3"/>
        <v>7400543.8800000008</v>
      </c>
      <c r="T209" s="128">
        <f t="shared" si="2"/>
        <v>4415.8624500268515</v>
      </c>
      <c r="U209" s="128">
        <v>4499.16</v>
      </c>
      <c r="V209" s="129"/>
    </row>
    <row r="210" spans="1:96" ht="35.25" x14ac:dyDescent="0.5">
      <c r="A210">
        <v>1</v>
      </c>
      <c r="B210" s="131">
        <f>SUBTOTAL(9,$A$186:A210)</f>
        <v>25</v>
      </c>
      <c r="C210" s="10" t="s">
        <v>83</v>
      </c>
      <c r="D210" s="123"/>
      <c r="E210" s="123">
        <v>1979</v>
      </c>
      <c r="F210" s="123" t="s">
        <v>421</v>
      </c>
      <c r="G210" s="123">
        <v>9</v>
      </c>
      <c r="H210" s="123">
        <v>2</v>
      </c>
      <c r="I210" s="124">
        <v>4850.5</v>
      </c>
      <c r="J210" s="124">
        <v>3834.6</v>
      </c>
      <c r="K210" s="125">
        <v>167</v>
      </c>
      <c r="L210" s="123" t="s">
        <v>418</v>
      </c>
      <c r="M210" s="123" t="s">
        <v>424</v>
      </c>
      <c r="N210" s="126" t="s">
        <v>558</v>
      </c>
      <c r="O210" s="128">
        <v>7384605.04</v>
      </c>
      <c r="P210" s="128">
        <v>0</v>
      </c>
      <c r="Q210" s="128">
        <v>0</v>
      </c>
      <c r="R210" s="128">
        <v>0</v>
      </c>
      <c r="S210" s="128">
        <f t="shared" si="3"/>
        <v>7384605.04</v>
      </c>
      <c r="T210" s="128">
        <f t="shared" si="2"/>
        <v>1522.4420245335532</v>
      </c>
      <c r="U210" s="128">
        <v>1522.51</v>
      </c>
      <c r="V210" s="129"/>
    </row>
    <row r="211" spans="1:96" ht="35.25" x14ac:dyDescent="0.5">
      <c r="A211">
        <v>1</v>
      </c>
      <c r="B211" s="131">
        <f>SUBTOTAL(9,$A$186:A211)</f>
        <v>26</v>
      </c>
      <c r="C211" s="10" t="s">
        <v>79</v>
      </c>
      <c r="D211" s="123"/>
      <c r="E211" s="123">
        <v>1963</v>
      </c>
      <c r="F211" s="123" t="s">
        <v>420</v>
      </c>
      <c r="G211" s="123">
        <v>4</v>
      </c>
      <c r="H211" s="123">
        <v>3</v>
      </c>
      <c r="I211" s="124">
        <v>2233.3000000000002</v>
      </c>
      <c r="J211" s="124">
        <v>1642.5</v>
      </c>
      <c r="K211" s="125">
        <v>94</v>
      </c>
      <c r="L211" s="123" t="s">
        <v>418</v>
      </c>
      <c r="M211" s="123" t="s">
        <v>424</v>
      </c>
      <c r="N211" s="126" t="s">
        <v>565</v>
      </c>
      <c r="O211" s="128">
        <v>10282055.020000001</v>
      </c>
      <c r="P211" s="128">
        <v>0</v>
      </c>
      <c r="Q211" s="128">
        <v>0</v>
      </c>
      <c r="R211" s="128">
        <v>0</v>
      </c>
      <c r="S211" s="128">
        <f t="shared" si="3"/>
        <v>10282055.020000001</v>
      </c>
      <c r="T211" s="128">
        <f t="shared" si="2"/>
        <v>4603.9739488649084</v>
      </c>
      <c r="U211" s="128">
        <v>4713.99</v>
      </c>
      <c r="V211" s="129"/>
    </row>
    <row r="212" spans="1:96" ht="35.25" x14ac:dyDescent="0.5">
      <c r="A212">
        <v>1</v>
      </c>
      <c r="B212" s="131">
        <f>SUBTOTAL(9,$A$186:A212)</f>
        <v>27</v>
      </c>
      <c r="C212" s="10" t="s">
        <v>86</v>
      </c>
      <c r="D212" s="123"/>
      <c r="E212" s="123">
        <v>1970</v>
      </c>
      <c r="F212" s="123" t="s">
        <v>420</v>
      </c>
      <c r="G212" s="123">
        <v>9</v>
      </c>
      <c r="H212" s="123">
        <v>1</v>
      </c>
      <c r="I212" s="124">
        <v>2960.8</v>
      </c>
      <c r="J212" s="124">
        <v>2272.1999999999998</v>
      </c>
      <c r="K212" s="125">
        <v>105</v>
      </c>
      <c r="L212" s="123" t="s">
        <v>418</v>
      </c>
      <c r="M212" s="123" t="s">
        <v>424</v>
      </c>
      <c r="N212" s="126" t="s">
        <v>561</v>
      </c>
      <c r="O212" s="128">
        <v>4163085.7199999997</v>
      </c>
      <c r="P212" s="128">
        <v>0</v>
      </c>
      <c r="Q212" s="128">
        <v>0</v>
      </c>
      <c r="R212" s="128">
        <v>0</v>
      </c>
      <c r="S212" s="128">
        <f t="shared" si="3"/>
        <v>4163085.7199999997</v>
      </c>
      <c r="T212" s="128">
        <f t="shared" si="2"/>
        <v>1406.0678600378274</v>
      </c>
      <c r="U212" s="128">
        <v>1406.13</v>
      </c>
      <c r="V212" s="129"/>
    </row>
    <row r="213" spans="1:96" ht="35.25" x14ac:dyDescent="0.5">
      <c r="A213">
        <v>1</v>
      </c>
      <c r="B213" s="131">
        <f>SUBTOTAL(9,$A$186:A213)</f>
        <v>28</v>
      </c>
      <c r="C213" s="10" t="s">
        <v>89</v>
      </c>
      <c r="D213" s="123"/>
      <c r="E213" s="123">
        <v>1994</v>
      </c>
      <c r="F213" s="123" t="s">
        <v>420</v>
      </c>
      <c r="G213" s="123">
        <v>9</v>
      </c>
      <c r="H213" s="123">
        <v>6</v>
      </c>
      <c r="I213" s="124">
        <v>11085.8</v>
      </c>
      <c r="J213" s="124">
        <v>9319.2999999999993</v>
      </c>
      <c r="K213" s="125">
        <v>444</v>
      </c>
      <c r="L213" s="123" t="s">
        <v>418</v>
      </c>
      <c r="M213" s="123" t="s">
        <v>424</v>
      </c>
      <c r="N213" s="126" t="s">
        <v>554</v>
      </c>
      <c r="O213" s="128">
        <v>4163085.7199999997</v>
      </c>
      <c r="P213" s="128">
        <v>0</v>
      </c>
      <c r="Q213" s="128">
        <v>0</v>
      </c>
      <c r="R213" s="128">
        <v>0</v>
      </c>
      <c r="S213" s="128">
        <f t="shared" si="3"/>
        <v>4163085.7199999997</v>
      </c>
      <c r="T213" s="128">
        <f t="shared" si="2"/>
        <v>375.53317938263365</v>
      </c>
      <c r="U213" s="128">
        <v>375.55</v>
      </c>
      <c r="V213" s="129"/>
    </row>
    <row r="214" spans="1:96" ht="35.25" x14ac:dyDescent="0.5">
      <c r="A214">
        <v>1</v>
      </c>
      <c r="B214" s="131">
        <f>SUBTOTAL(9,$A$186:A214)</f>
        <v>29</v>
      </c>
      <c r="C214" s="10" t="s">
        <v>94</v>
      </c>
      <c r="D214" s="123"/>
      <c r="E214" s="123">
        <v>1970</v>
      </c>
      <c r="F214" s="123" t="s">
        <v>420</v>
      </c>
      <c r="G214" s="123">
        <v>9</v>
      </c>
      <c r="H214" s="123">
        <v>1</v>
      </c>
      <c r="I214" s="124">
        <v>2980.5</v>
      </c>
      <c r="J214" s="124">
        <v>2268.1</v>
      </c>
      <c r="K214" s="125">
        <v>140</v>
      </c>
      <c r="L214" s="123" t="s">
        <v>418</v>
      </c>
      <c r="M214" s="123" t="s">
        <v>424</v>
      </c>
      <c r="N214" s="126" t="s">
        <v>565</v>
      </c>
      <c r="O214" s="128">
        <v>4163085.7199999997</v>
      </c>
      <c r="P214" s="128">
        <v>0</v>
      </c>
      <c r="Q214" s="128">
        <v>0</v>
      </c>
      <c r="R214" s="128">
        <v>0</v>
      </c>
      <c r="S214" s="128">
        <f t="shared" si="3"/>
        <v>4163085.7199999997</v>
      </c>
      <c r="T214" s="128">
        <f t="shared" si="2"/>
        <v>1396.7742727730247</v>
      </c>
      <c r="U214" s="128">
        <v>1396.84</v>
      </c>
      <c r="V214" s="129"/>
    </row>
    <row r="215" spans="1:96" ht="35.25" x14ac:dyDescent="0.5">
      <c r="A215">
        <v>1</v>
      </c>
      <c r="B215" s="131">
        <f>SUBTOTAL(9,$A$186:A215)</f>
        <v>30</v>
      </c>
      <c r="C215" s="10" t="s">
        <v>97</v>
      </c>
      <c r="D215" s="123"/>
      <c r="E215" s="123">
        <v>1993</v>
      </c>
      <c r="F215" s="123" t="s">
        <v>420</v>
      </c>
      <c r="G215" s="123">
        <v>5</v>
      </c>
      <c r="H215" s="123">
        <v>9</v>
      </c>
      <c r="I215" s="124">
        <v>14780.2</v>
      </c>
      <c r="J215" s="124">
        <v>12472.3</v>
      </c>
      <c r="K215" s="125">
        <v>478</v>
      </c>
      <c r="L215" s="123" t="s">
        <v>418</v>
      </c>
      <c r="M215" s="123" t="s">
        <v>424</v>
      </c>
      <c r="N215" s="126" t="s">
        <v>554</v>
      </c>
      <c r="O215" s="128">
        <v>4228644.46</v>
      </c>
      <c r="P215" s="128">
        <v>0</v>
      </c>
      <c r="Q215" s="128">
        <v>0</v>
      </c>
      <c r="R215" s="128">
        <v>0</v>
      </c>
      <c r="S215" s="128">
        <f t="shared" si="3"/>
        <v>4228644.46</v>
      </c>
      <c r="T215" s="128">
        <f t="shared" si="2"/>
        <v>286.10197832235013</v>
      </c>
      <c r="U215" s="128">
        <v>286.12</v>
      </c>
      <c r="V215" s="129"/>
    </row>
    <row r="216" spans="1:96" ht="35.25" x14ac:dyDescent="0.5">
      <c r="A216">
        <v>1</v>
      </c>
      <c r="B216" s="131">
        <f>SUBTOTAL(9,$A$186:A216)</f>
        <v>31</v>
      </c>
      <c r="C216" s="10" t="s">
        <v>105</v>
      </c>
      <c r="D216" s="123"/>
      <c r="E216" s="123">
        <v>1969</v>
      </c>
      <c r="F216" s="123" t="s">
        <v>420</v>
      </c>
      <c r="G216" s="123">
        <v>9</v>
      </c>
      <c r="H216" s="123">
        <v>1</v>
      </c>
      <c r="I216" s="124">
        <v>2300.1</v>
      </c>
      <c r="J216" s="124">
        <v>2294.1999999999998</v>
      </c>
      <c r="K216" s="125">
        <v>140</v>
      </c>
      <c r="L216" s="123" t="s">
        <v>418</v>
      </c>
      <c r="M216" s="123" t="s">
        <v>424</v>
      </c>
      <c r="N216" s="126" t="s">
        <v>561</v>
      </c>
      <c r="O216" s="128">
        <v>4163085.7199999997</v>
      </c>
      <c r="P216" s="128">
        <v>0</v>
      </c>
      <c r="Q216" s="128">
        <v>0</v>
      </c>
      <c r="R216" s="128">
        <v>0</v>
      </c>
      <c r="S216" s="128">
        <f t="shared" si="3"/>
        <v>4163085.7199999997</v>
      </c>
      <c r="T216" s="128">
        <f t="shared" si="2"/>
        <v>1809.9585757140994</v>
      </c>
      <c r="U216" s="128">
        <v>1810.04</v>
      </c>
      <c r="V216" s="129"/>
    </row>
    <row r="217" spans="1:96" ht="35.25" x14ac:dyDescent="0.5">
      <c r="A217">
        <v>1</v>
      </c>
      <c r="B217" s="131">
        <f>SUBTOTAL(9,$A$186:A217)</f>
        <v>32</v>
      </c>
      <c r="C217" s="10" t="s">
        <v>636</v>
      </c>
      <c r="D217" s="123"/>
      <c r="E217" s="123">
        <v>1985</v>
      </c>
      <c r="F217" s="123" t="s">
        <v>421</v>
      </c>
      <c r="G217" s="123">
        <v>9</v>
      </c>
      <c r="H217" s="123">
        <v>2</v>
      </c>
      <c r="I217" s="124">
        <v>3811.3</v>
      </c>
      <c r="J217" s="124">
        <v>2311.4</v>
      </c>
      <c r="K217" s="125">
        <v>192</v>
      </c>
      <c r="L217" s="123" t="s">
        <v>418</v>
      </c>
      <c r="M217" s="123" t="s">
        <v>424</v>
      </c>
      <c r="N217" s="126" t="s">
        <v>441</v>
      </c>
      <c r="O217" s="128">
        <v>8326563</v>
      </c>
      <c r="P217" s="128">
        <v>0</v>
      </c>
      <c r="Q217" s="128">
        <v>0</v>
      </c>
      <c r="R217" s="128">
        <v>0</v>
      </c>
      <c r="S217" s="128">
        <f t="shared" si="3"/>
        <v>8326563</v>
      </c>
      <c r="T217" s="128">
        <f t="shared" si="2"/>
        <v>2184.7041691811191</v>
      </c>
      <c r="U217" s="128">
        <f>T217</f>
        <v>2184.7041691811191</v>
      </c>
      <c r="V217" s="129"/>
    </row>
    <row r="218" spans="1:96" ht="35.25" x14ac:dyDescent="0.5">
      <c r="A218">
        <v>1</v>
      </c>
      <c r="B218" s="131">
        <f>SUBTOTAL(9,$A$186:A218)</f>
        <v>33</v>
      </c>
      <c r="C218" s="10" t="s">
        <v>680</v>
      </c>
      <c r="D218" s="123"/>
      <c r="E218" s="123">
        <v>2002</v>
      </c>
      <c r="F218" s="123" t="s">
        <v>420</v>
      </c>
      <c r="G218" s="123">
        <v>8</v>
      </c>
      <c r="H218" s="123">
        <v>1</v>
      </c>
      <c r="I218" s="124">
        <v>3506.4</v>
      </c>
      <c r="J218" s="124">
        <v>2548.9</v>
      </c>
      <c r="K218" s="125">
        <v>75</v>
      </c>
      <c r="L218" s="123" t="s">
        <v>418</v>
      </c>
      <c r="M218" s="123" t="s">
        <v>424</v>
      </c>
      <c r="N218" s="126" t="s">
        <v>686</v>
      </c>
      <c r="O218" s="128">
        <v>4002526.5</v>
      </c>
      <c r="P218" s="128">
        <v>0</v>
      </c>
      <c r="Q218" s="128">
        <v>0</v>
      </c>
      <c r="R218" s="128">
        <v>0</v>
      </c>
      <c r="S218" s="128">
        <f t="shared" si="3"/>
        <v>4002526.5</v>
      </c>
      <c r="T218" s="128">
        <f t="shared" si="2"/>
        <v>1141.4917008898015</v>
      </c>
      <c r="U218" s="128">
        <f>T218</f>
        <v>1141.4917008898015</v>
      </c>
      <c r="V218" s="129"/>
    </row>
    <row r="219" spans="1:96" ht="35.25" x14ac:dyDescent="0.5">
      <c r="A219">
        <v>1</v>
      </c>
      <c r="B219" s="131">
        <f>SUBTOTAL(9,$A$186:A219)</f>
        <v>34</v>
      </c>
      <c r="C219" s="10" t="s">
        <v>683</v>
      </c>
      <c r="D219" s="123"/>
      <c r="E219" s="123">
        <v>1983</v>
      </c>
      <c r="F219" s="123" t="s">
        <v>420</v>
      </c>
      <c r="G219" s="123">
        <v>13</v>
      </c>
      <c r="H219" s="123">
        <v>1</v>
      </c>
      <c r="I219" s="124">
        <v>4063.7</v>
      </c>
      <c r="J219" s="124">
        <v>3929.2</v>
      </c>
      <c r="K219" s="125">
        <v>200</v>
      </c>
      <c r="L219" s="123" t="s">
        <v>418</v>
      </c>
      <c r="M219" s="123" t="s">
        <v>427</v>
      </c>
      <c r="N219" s="126" t="s">
        <v>685</v>
      </c>
      <c r="O219" s="128">
        <v>1628382.82</v>
      </c>
      <c r="P219" s="128">
        <v>0</v>
      </c>
      <c r="Q219" s="128">
        <v>0</v>
      </c>
      <c r="R219" s="128">
        <v>0</v>
      </c>
      <c r="S219" s="128">
        <f t="shared" ref="S219:S220" si="101">O219-P219-Q219-R219</f>
        <v>1628382.82</v>
      </c>
      <c r="T219" s="128">
        <f>O219/I219</f>
        <v>400.71432930580511</v>
      </c>
      <c r="U219" s="128">
        <v>1375.6</v>
      </c>
      <c r="V219" s="129"/>
      <c r="CR219" s="1"/>
    </row>
    <row r="220" spans="1:96" ht="35.25" x14ac:dyDescent="0.5">
      <c r="A220">
        <v>1</v>
      </c>
      <c r="B220" s="131">
        <f>SUBTOTAL(9,$A$186:A220)</f>
        <v>35</v>
      </c>
      <c r="C220" s="10" t="s">
        <v>684</v>
      </c>
      <c r="D220" s="123"/>
      <c r="E220" s="123">
        <v>1959</v>
      </c>
      <c r="F220" s="123" t="s">
        <v>420</v>
      </c>
      <c r="G220" s="123">
        <v>4</v>
      </c>
      <c r="H220" s="123">
        <v>2</v>
      </c>
      <c r="I220" s="124">
        <v>1402.7</v>
      </c>
      <c r="J220" s="124">
        <v>1260.5999999999999</v>
      </c>
      <c r="K220" s="125">
        <v>61</v>
      </c>
      <c r="L220" s="123" t="s">
        <v>418</v>
      </c>
      <c r="M220" s="123" t="s">
        <v>424</v>
      </c>
      <c r="N220" s="126" t="s">
        <v>550</v>
      </c>
      <c r="O220" s="128">
        <v>7845207.1800000006</v>
      </c>
      <c r="P220" s="128">
        <v>0</v>
      </c>
      <c r="Q220" s="128">
        <v>0</v>
      </c>
      <c r="R220" s="128">
        <v>0</v>
      </c>
      <c r="S220" s="128">
        <f t="shared" si="101"/>
        <v>7845207.1800000006</v>
      </c>
      <c r="T220" s="128">
        <f>O220/I220</f>
        <v>5592.9330434162684</v>
      </c>
      <c r="U220" s="128">
        <v>5592.93</v>
      </c>
      <c r="V220" s="129"/>
      <c r="CR220" s="1"/>
    </row>
    <row r="221" spans="1:96" ht="35.25" x14ac:dyDescent="0.5">
      <c r="B221" s="122" t="s">
        <v>417</v>
      </c>
      <c r="C221" s="130"/>
      <c r="D221" s="123" t="s">
        <v>423</v>
      </c>
      <c r="E221" s="123" t="s">
        <v>423</v>
      </c>
      <c r="F221" s="123" t="s">
        <v>423</v>
      </c>
      <c r="G221" s="123" t="s">
        <v>423</v>
      </c>
      <c r="H221" s="123" t="s">
        <v>423</v>
      </c>
      <c r="I221" s="124">
        <f>SUM(I222:I225)</f>
        <v>19027.300000000003</v>
      </c>
      <c r="J221" s="124">
        <f t="shared" ref="J221:K221" si="102">SUM(J222:J225)</f>
        <v>17346.8</v>
      </c>
      <c r="K221" s="125">
        <f t="shared" si="102"/>
        <v>612</v>
      </c>
      <c r="L221" s="123" t="s">
        <v>423</v>
      </c>
      <c r="M221" s="123" t="s">
        <v>423</v>
      </c>
      <c r="N221" s="126" t="s">
        <v>423</v>
      </c>
      <c r="O221" s="128">
        <v>52701776.930000007</v>
      </c>
      <c r="P221" s="128">
        <f t="shared" ref="P221:S221" si="103">SUM(P222:P225)</f>
        <v>0</v>
      </c>
      <c r="Q221" s="128">
        <f t="shared" si="103"/>
        <v>0</v>
      </c>
      <c r="R221" s="128">
        <f t="shared" si="103"/>
        <v>0</v>
      </c>
      <c r="S221" s="128">
        <f t="shared" si="103"/>
        <v>52701776.930000007</v>
      </c>
      <c r="T221" s="128">
        <f t="shared" ref="T221:T254" si="104">O221/I221</f>
        <v>2769.7979708103621</v>
      </c>
      <c r="U221" s="128">
        <f>MAX(U222:U225)</f>
        <v>11772.21</v>
      </c>
      <c r="V221" s="129"/>
    </row>
    <row r="222" spans="1:96" ht="35.25" x14ac:dyDescent="0.5">
      <c r="A222">
        <v>1</v>
      </c>
      <c r="B222" s="131">
        <f>SUBTOTAL(9,$A$186:A222)</f>
        <v>36</v>
      </c>
      <c r="C222" s="10" t="s">
        <v>160</v>
      </c>
      <c r="D222" s="123"/>
      <c r="E222" s="123">
        <v>1982</v>
      </c>
      <c r="F222" s="123" t="s">
        <v>421</v>
      </c>
      <c r="G222" s="123">
        <v>5</v>
      </c>
      <c r="H222" s="123">
        <v>12</v>
      </c>
      <c r="I222" s="124">
        <v>10050.1</v>
      </c>
      <c r="J222" s="124">
        <v>9009</v>
      </c>
      <c r="K222" s="125">
        <v>300</v>
      </c>
      <c r="L222" s="123" t="s">
        <v>418</v>
      </c>
      <c r="M222" s="123" t="s">
        <v>424</v>
      </c>
      <c r="N222" s="126" t="s">
        <v>487</v>
      </c>
      <c r="O222" s="128">
        <v>11425450.719999999</v>
      </c>
      <c r="P222" s="128">
        <v>0</v>
      </c>
      <c r="Q222" s="128">
        <v>0</v>
      </c>
      <c r="R222" s="128">
        <v>0</v>
      </c>
      <c r="S222" s="128">
        <f>O222-P222-Q222-R222</f>
        <v>11425450.719999999</v>
      </c>
      <c r="T222" s="128">
        <f t="shared" si="104"/>
        <v>1136.8494562243161</v>
      </c>
      <c r="U222" s="128">
        <v>1136.8499999999999</v>
      </c>
      <c r="V222" s="129"/>
    </row>
    <row r="223" spans="1:96" ht="35.25" x14ac:dyDescent="0.5">
      <c r="A223">
        <v>1</v>
      </c>
      <c r="B223" s="131">
        <f>SUBTOTAL(9,$A$186:A223)</f>
        <v>37</v>
      </c>
      <c r="C223" s="10" t="s">
        <v>161</v>
      </c>
      <c r="D223" s="123"/>
      <c r="E223" s="123">
        <v>1964</v>
      </c>
      <c r="F223" s="123" t="s">
        <v>420</v>
      </c>
      <c r="G223" s="123">
        <v>5</v>
      </c>
      <c r="H223" s="123">
        <v>4</v>
      </c>
      <c r="I223" s="124">
        <v>3463.3</v>
      </c>
      <c r="J223" s="124">
        <v>3210.5</v>
      </c>
      <c r="K223" s="125">
        <v>143</v>
      </c>
      <c r="L223" s="123" t="s">
        <v>418</v>
      </c>
      <c r="M223" s="123" t="s">
        <v>424</v>
      </c>
      <c r="N223" s="126" t="s">
        <v>439</v>
      </c>
      <c r="O223" s="128">
        <v>14287797.950000001</v>
      </c>
      <c r="P223" s="128">
        <v>0</v>
      </c>
      <c r="Q223" s="128">
        <v>0</v>
      </c>
      <c r="R223" s="128">
        <v>0</v>
      </c>
      <c r="S223" s="128">
        <f>O223-P223-Q223-R223</f>
        <v>14287797.950000001</v>
      </c>
      <c r="T223" s="128">
        <f t="shared" si="104"/>
        <v>4125.4866601218491</v>
      </c>
      <c r="U223" s="128">
        <v>4203.1099999999997</v>
      </c>
      <c r="V223" s="129"/>
    </row>
    <row r="224" spans="1:96" ht="35.25" x14ac:dyDescent="0.5">
      <c r="A224">
        <v>1</v>
      </c>
      <c r="B224" s="131">
        <f>SUBTOTAL(9,$A$186:A224)</f>
        <v>38</v>
      </c>
      <c r="C224" s="10" t="s">
        <v>162</v>
      </c>
      <c r="D224" s="123"/>
      <c r="E224" s="123">
        <v>1976</v>
      </c>
      <c r="F224" s="123" t="s">
        <v>420</v>
      </c>
      <c r="G224" s="123">
        <v>2</v>
      </c>
      <c r="H224" s="123">
        <v>1</v>
      </c>
      <c r="I224" s="124">
        <v>402.1</v>
      </c>
      <c r="J224" s="124">
        <v>371.5</v>
      </c>
      <c r="K224" s="125">
        <v>21</v>
      </c>
      <c r="L224" s="123" t="s">
        <v>418</v>
      </c>
      <c r="M224" s="123" t="s">
        <v>425</v>
      </c>
      <c r="N224" s="126" t="s">
        <v>426</v>
      </c>
      <c r="O224" s="128">
        <v>4646190.66</v>
      </c>
      <c r="P224" s="128">
        <v>0</v>
      </c>
      <c r="Q224" s="128">
        <v>0</v>
      </c>
      <c r="R224" s="128">
        <v>0</v>
      </c>
      <c r="S224" s="128">
        <f>O224-P224-Q224-R224</f>
        <v>4646190.66</v>
      </c>
      <c r="T224" s="128">
        <f t="shared" si="104"/>
        <v>11554.813877144989</v>
      </c>
      <c r="U224" s="128">
        <v>11772.21</v>
      </c>
      <c r="V224" s="129"/>
    </row>
    <row r="225" spans="1:22" ht="35.25" x14ac:dyDescent="0.5">
      <c r="A225">
        <v>1</v>
      </c>
      <c r="B225" s="131">
        <f>SUBTOTAL(9,$A$186:A225)</f>
        <v>39</v>
      </c>
      <c r="C225" s="10" t="s">
        <v>163</v>
      </c>
      <c r="D225" s="123"/>
      <c r="E225" s="123">
        <v>1972</v>
      </c>
      <c r="F225" s="123" t="s">
        <v>420</v>
      </c>
      <c r="G225" s="123">
        <v>5</v>
      </c>
      <c r="H225" s="123">
        <v>6</v>
      </c>
      <c r="I225" s="124">
        <v>5111.8</v>
      </c>
      <c r="J225" s="124">
        <v>4755.8</v>
      </c>
      <c r="K225" s="125">
        <v>148</v>
      </c>
      <c r="L225" s="123" t="s">
        <v>418</v>
      </c>
      <c r="M225" s="123" t="s">
        <v>424</v>
      </c>
      <c r="N225" s="126" t="s">
        <v>488</v>
      </c>
      <c r="O225" s="128">
        <v>22342337.600000001</v>
      </c>
      <c r="P225" s="128">
        <v>0</v>
      </c>
      <c r="Q225" s="128">
        <v>0</v>
      </c>
      <c r="R225" s="128">
        <v>0</v>
      </c>
      <c r="S225" s="128">
        <f>O225-P225-Q225-R225</f>
        <v>22342337.600000001</v>
      </c>
      <c r="T225" s="128">
        <f t="shared" si="104"/>
        <v>4370.7378222935167</v>
      </c>
      <c r="U225" s="128">
        <v>4452.97</v>
      </c>
      <c r="V225" s="129"/>
    </row>
    <row r="226" spans="1:22" ht="35.25" x14ac:dyDescent="0.5">
      <c r="B226" s="122" t="s">
        <v>415</v>
      </c>
      <c r="C226" s="130"/>
      <c r="D226" s="123" t="s">
        <v>423</v>
      </c>
      <c r="E226" s="123" t="s">
        <v>423</v>
      </c>
      <c r="F226" s="123" t="s">
        <v>423</v>
      </c>
      <c r="G226" s="123" t="s">
        <v>423</v>
      </c>
      <c r="H226" s="123" t="s">
        <v>423</v>
      </c>
      <c r="I226" s="124">
        <f>SUM(I227:I244)</f>
        <v>80094.84</v>
      </c>
      <c r="J226" s="124">
        <f t="shared" ref="J226:K226" si="105">SUM(J227:J244)</f>
        <v>66944.299999999988</v>
      </c>
      <c r="K226" s="125">
        <f t="shared" si="105"/>
        <v>2492</v>
      </c>
      <c r="L226" s="123" t="s">
        <v>423</v>
      </c>
      <c r="M226" s="123" t="s">
        <v>423</v>
      </c>
      <c r="N226" s="126" t="s">
        <v>423</v>
      </c>
      <c r="O226" s="128">
        <f>SUM(O227:O244)</f>
        <v>219003561.21000001</v>
      </c>
      <c r="P226" s="128">
        <f t="shared" ref="P226:S226" si="106">SUM(P227:P244)</f>
        <v>0</v>
      </c>
      <c r="Q226" s="128">
        <f t="shared" si="106"/>
        <v>0</v>
      </c>
      <c r="R226" s="128">
        <f t="shared" si="106"/>
        <v>0</v>
      </c>
      <c r="S226" s="128">
        <f t="shared" si="106"/>
        <v>219003561.21000001</v>
      </c>
      <c r="T226" s="128">
        <f t="shared" si="104"/>
        <v>2734.3029989197807</v>
      </c>
      <c r="U226" s="128">
        <f>MAX(U227:U244)</f>
        <v>17954.86</v>
      </c>
      <c r="V226" s="129"/>
    </row>
    <row r="227" spans="1:22" ht="35.25" x14ac:dyDescent="0.5">
      <c r="A227">
        <v>1</v>
      </c>
      <c r="B227" s="131">
        <f>SUBTOTAL(9,$A$186:A227)</f>
        <v>40</v>
      </c>
      <c r="C227" s="10" t="s">
        <v>124</v>
      </c>
      <c r="D227" s="123"/>
      <c r="E227" s="123">
        <v>1959</v>
      </c>
      <c r="F227" s="123" t="s">
        <v>420</v>
      </c>
      <c r="G227" s="123">
        <v>2</v>
      </c>
      <c r="H227" s="123" t="s">
        <v>318</v>
      </c>
      <c r="I227" s="124">
        <v>315.10000000000002</v>
      </c>
      <c r="J227" s="124">
        <v>206.1</v>
      </c>
      <c r="K227" s="125">
        <v>11</v>
      </c>
      <c r="L227" s="123" t="s">
        <v>418</v>
      </c>
      <c r="M227" s="123" t="s">
        <v>424</v>
      </c>
      <c r="N227" s="126" t="s">
        <v>432</v>
      </c>
      <c r="O227" s="128">
        <v>4236905.97</v>
      </c>
      <c r="P227" s="128">
        <v>0</v>
      </c>
      <c r="Q227" s="128">
        <v>0</v>
      </c>
      <c r="R227" s="128">
        <v>0</v>
      </c>
      <c r="S227" s="128">
        <f t="shared" ref="S227:S256" si="107">O227-P227-Q227-R227</f>
        <v>4236905.97</v>
      </c>
      <c r="T227" s="128">
        <f t="shared" si="104"/>
        <v>13446.226499523958</v>
      </c>
      <c r="U227" s="128">
        <v>13446.23</v>
      </c>
      <c r="V227" s="129"/>
    </row>
    <row r="228" spans="1:22" ht="35.25" x14ac:dyDescent="0.5">
      <c r="A228">
        <v>1</v>
      </c>
      <c r="B228" s="131">
        <f>SUBTOTAL(9,$A$186:A228)</f>
        <v>41</v>
      </c>
      <c r="C228" s="10" t="s">
        <v>125</v>
      </c>
      <c r="D228" s="123"/>
      <c r="E228" s="123">
        <v>1959</v>
      </c>
      <c r="F228" s="123" t="s">
        <v>420</v>
      </c>
      <c r="G228" s="123">
        <v>2</v>
      </c>
      <c r="H228" s="123" t="s">
        <v>320</v>
      </c>
      <c r="I228" s="124">
        <v>594.1</v>
      </c>
      <c r="J228" s="124">
        <v>550.5</v>
      </c>
      <c r="K228" s="125">
        <v>42</v>
      </c>
      <c r="L228" s="123" t="s">
        <v>418</v>
      </c>
      <c r="M228" s="123" t="s">
        <v>425</v>
      </c>
      <c r="N228" s="126" t="s">
        <v>426</v>
      </c>
      <c r="O228" s="128">
        <v>10665186.84</v>
      </c>
      <c r="P228" s="128">
        <v>0</v>
      </c>
      <c r="Q228" s="128">
        <v>0</v>
      </c>
      <c r="R228" s="128">
        <v>0</v>
      </c>
      <c r="S228" s="128">
        <f t="shared" si="107"/>
        <v>10665186.84</v>
      </c>
      <c r="T228" s="128">
        <f t="shared" si="104"/>
        <v>17951.83780508332</v>
      </c>
      <c r="U228" s="128">
        <v>17954.86</v>
      </c>
      <c r="V228" s="129"/>
    </row>
    <row r="229" spans="1:22" ht="35.25" x14ac:dyDescent="0.5">
      <c r="A229">
        <v>1</v>
      </c>
      <c r="B229" s="131">
        <f>SUBTOTAL(9,$A$186:A229)</f>
        <v>42</v>
      </c>
      <c r="C229" s="10" t="s">
        <v>126</v>
      </c>
      <c r="D229" s="123"/>
      <c r="E229" s="123">
        <v>1964</v>
      </c>
      <c r="F229" s="123" t="s">
        <v>420</v>
      </c>
      <c r="G229" s="123">
        <v>2</v>
      </c>
      <c r="H229" s="123" t="s">
        <v>320</v>
      </c>
      <c r="I229" s="124">
        <v>625.5</v>
      </c>
      <c r="J229" s="124">
        <v>624.1</v>
      </c>
      <c r="K229" s="125">
        <v>22</v>
      </c>
      <c r="L229" s="123" t="s">
        <v>418</v>
      </c>
      <c r="M229" s="123" t="s">
        <v>424</v>
      </c>
      <c r="N229" s="126" t="s">
        <v>489</v>
      </c>
      <c r="O229" s="128">
        <v>9695624.4000000004</v>
      </c>
      <c r="P229" s="128">
        <v>0</v>
      </c>
      <c r="Q229" s="128">
        <v>0</v>
      </c>
      <c r="R229" s="128">
        <v>0</v>
      </c>
      <c r="S229" s="128">
        <f t="shared" si="107"/>
        <v>9695624.4000000004</v>
      </c>
      <c r="T229" s="128">
        <f t="shared" si="104"/>
        <v>15500.598561151081</v>
      </c>
      <c r="U229" s="128">
        <v>15500.6</v>
      </c>
      <c r="V229" s="129"/>
    </row>
    <row r="230" spans="1:22" ht="35.25" x14ac:dyDescent="0.5">
      <c r="A230">
        <v>1</v>
      </c>
      <c r="B230" s="131">
        <f>SUBTOTAL(9,$A$186:A230)</f>
        <v>43</v>
      </c>
      <c r="C230" s="10" t="s">
        <v>127</v>
      </c>
      <c r="D230" s="123"/>
      <c r="E230" s="123">
        <v>1954</v>
      </c>
      <c r="F230" s="123" t="s">
        <v>420</v>
      </c>
      <c r="G230" s="123">
        <v>3</v>
      </c>
      <c r="H230" s="123" t="s">
        <v>320</v>
      </c>
      <c r="I230" s="124">
        <v>1106</v>
      </c>
      <c r="J230" s="124">
        <v>1106</v>
      </c>
      <c r="K230" s="125">
        <v>30</v>
      </c>
      <c r="L230" s="123" t="s">
        <v>418</v>
      </c>
      <c r="M230" s="123" t="s">
        <v>424</v>
      </c>
      <c r="N230" s="126" t="s">
        <v>436</v>
      </c>
      <c r="O230" s="128">
        <v>11957936.76</v>
      </c>
      <c r="P230" s="128">
        <v>0</v>
      </c>
      <c r="Q230" s="128">
        <v>0</v>
      </c>
      <c r="R230" s="128">
        <v>0</v>
      </c>
      <c r="S230" s="128">
        <f t="shared" si="107"/>
        <v>11957936.76</v>
      </c>
      <c r="T230" s="128">
        <f t="shared" si="104"/>
        <v>10811.877721518988</v>
      </c>
      <c r="U230" s="128">
        <v>10811.88</v>
      </c>
      <c r="V230" s="129"/>
    </row>
    <row r="231" spans="1:22" ht="35.25" x14ac:dyDescent="0.5">
      <c r="A231">
        <v>1</v>
      </c>
      <c r="B231" s="131">
        <f>SUBTOTAL(9,$A$186:A231)</f>
        <v>44</v>
      </c>
      <c r="C231" s="10" t="s">
        <v>128</v>
      </c>
      <c r="D231" s="123"/>
      <c r="E231" s="123">
        <v>1962</v>
      </c>
      <c r="F231" s="123" t="s">
        <v>420</v>
      </c>
      <c r="G231" s="123">
        <v>4</v>
      </c>
      <c r="H231" s="123" t="s">
        <v>320</v>
      </c>
      <c r="I231" s="124">
        <v>1717.5</v>
      </c>
      <c r="J231" s="124">
        <v>1270.9000000000001</v>
      </c>
      <c r="K231" s="125">
        <v>83</v>
      </c>
      <c r="L231" s="123" t="s">
        <v>418</v>
      </c>
      <c r="M231" s="123" t="s">
        <v>424</v>
      </c>
      <c r="N231" s="126" t="s">
        <v>433</v>
      </c>
      <c r="O231" s="128">
        <v>7515149.9199999999</v>
      </c>
      <c r="P231" s="128">
        <v>0</v>
      </c>
      <c r="Q231" s="128">
        <v>0</v>
      </c>
      <c r="R231" s="128">
        <v>0</v>
      </c>
      <c r="S231" s="128">
        <f t="shared" si="107"/>
        <v>7515149.9199999999</v>
      </c>
      <c r="T231" s="128">
        <f t="shared" si="104"/>
        <v>4375.6331411935953</v>
      </c>
      <c r="U231" s="128">
        <v>4457.96</v>
      </c>
      <c r="V231" s="129"/>
    </row>
    <row r="232" spans="1:22" ht="35.25" x14ac:dyDescent="0.5">
      <c r="A232">
        <v>1</v>
      </c>
      <c r="B232" s="131">
        <f>SUBTOTAL(9,$A$186:A232)</f>
        <v>45</v>
      </c>
      <c r="C232" s="10" t="s">
        <v>129</v>
      </c>
      <c r="D232" s="123"/>
      <c r="E232" s="123">
        <v>1971</v>
      </c>
      <c r="F232" s="123" t="s">
        <v>420</v>
      </c>
      <c r="G232" s="123">
        <v>5</v>
      </c>
      <c r="H232" s="123" t="s">
        <v>322</v>
      </c>
      <c r="I232" s="124">
        <v>4067.1</v>
      </c>
      <c r="J232" s="124">
        <v>3423</v>
      </c>
      <c r="K232" s="125">
        <v>120</v>
      </c>
      <c r="L232" s="123" t="s">
        <v>418</v>
      </c>
      <c r="M232" s="123" t="s">
        <v>424</v>
      </c>
      <c r="N232" s="126" t="s">
        <v>429</v>
      </c>
      <c r="O232" s="128">
        <v>16274361.82</v>
      </c>
      <c r="P232" s="128">
        <v>0</v>
      </c>
      <c r="Q232" s="128">
        <v>0</v>
      </c>
      <c r="R232" s="128">
        <v>0</v>
      </c>
      <c r="S232" s="128">
        <f t="shared" si="107"/>
        <v>16274361.82</v>
      </c>
      <c r="T232" s="128">
        <f t="shared" si="104"/>
        <v>4001.4658651127343</v>
      </c>
      <c r="U232" s="128">
        <v>4076.75</v>
      </c>
      <c r="V232" s="129"/>
    </row>
    <row r="233" spans="1:22" ht="35.25" x14ac:dyDescent="0.5">
      <c r="A233">
        <v>1</v>
      </c>
      <c r="B233" s="131">
        <f>SUBTOTAL(9,$A$186:A233)</f>
        <v>46</v>
      </c>
      <c r="C233" s="10" t="s">
        <v>130</v>
      </c>
      <c r="D233" s="123"/>
      <c r="E233" s="123">
        <v>1979</v>
      </c>
      <c r="F233" s="123" t="s">
        <v>420</v>
      </c>
      <c r="G233" s="123">
        <v>5</v>
      </c>
      <c r="H233" s="123" t="s">
        <v>320</v>
      </c>
      <c r="I233" s="124">
        <v>1836</v>
      </c>
      <c r="J233" s="124">
        <v>1219.9000000000001</v>
      </c>
      <c r="K233" s="125">
        <v>91</v>
      </c>
      <c r="L233" s="123" t="s">
        <v>418</v>
      </c>
      <c r="M233" s="123" t="s">
        <v>424</v>
      </c>
      <c r="N233" s="126" t="s">
        <v>434</v>
      </c>
      <c r="O233" s="128">
        <v>8366570.71</v>
      </c>
      <c r="P233" s="128">
        <v>0</v>
      </c>
      <c r="Q233" s="128">
        <v>0</v>
      </c>
      <c r="R233" s="128">
        <v>0</v>
      </c>
      <c r="S233" s="128">
        <f t="shared" si="107"/>
        <v>8366570.71</v>
      </c>
      <c r="T233" s="128">
        <f t="shared" si="104"/>
        <v>4556.9557244008711</v>
      </c>
      <c r="U233" s="128">
        <v>4642.6899999999996</v>
      </c>
      <c r="V233" s="129"/>
    </row>
    <row r="234" spans="1:22" ht="35.25" x14ac:dyDescent="0.5">
      <c r="A234">
        <v>1</v>
      </c>
      <c r="B234" s="131">
        <f>SUBTOTAL(9,$A$186:A234)</f>
        <v>47</v>
      </c>
      <c r="C234" s="10" t="s">
        <v>131</v>
      </c>
      <c r="D234" s="123"/>
      <c r="E234" s="123">
        <v>1960</v>
      </c>
      <c r="F234" s="123" t="s">
        <v>420</v>
      </c>
      <c r="G234" s="123">
        <v>3</v>
      </c>
      <c r="H234" s="123" t="s">
        <v>320</v>
      </c>
      <c r="I234" s="124">
        <v>1090.8</v>
      </c>
      <c r="J234" s="124">
        <v>970.4</v>
      </c>
      <c r="K234" s="125">
        <v>57</v>
      </c>
      <c r="L234" s="123" t="s">
        <v>418</v>
      </c>
      <c r="M234" s="123" t="s">
        <v>425</v>
      </c>
      <c r="N234" s="126" t="s">
        <v>426</v>
      </c>
      <c r="O234" s="128">
        <v>11760433.300000001</v>
      </c>
      <c r="P234" s="128">
        <v>0</v>
      </c>
      <c r="Q234" s="128">
        <v>0</v>
      </c>
      <c r="R234" s="128">
        <v>0</v>
      </c>
      <c r="S234" s="128">
        <f t="shared" si="107"/>
        <v>11760433.300000001</v>
      </c>
      <c r="T234" s="128">
        <f t="shared" si="104"/>
        <v>10781.475339200588</v>
      </c>
      <c r="U234" s="128">
        <v>10784.77</v>
      </c>
      <c r="V234" s="129"/>
    </row>
    <row r="235" spans="1:22" ht="35.25" x14ac:dyDescent="0.5">
      <c r="A235">
        <v>1</v>
      </c>
      <c r="B235" s="131">
        <f>SUBTOTAL(9,$A$186:A235)</f>
        <v>48</v>
      </c>
      <c r="C235" s="10" t="s">
        <v>132</v>
      </c>
      <c r="D235" s="123"/>
      <c r="E235" s="123">
        <v>1995</v>
      </c>
      <c r="F235" s="123" t="s">
        <v>421</v>
      </c>
      <c r="G235" s="123">
        <v>9</v>
      </c>
      <c r="H235" s="123" t="s">
        <v>327</v>
      </c>
      <c r="I235" s="124">
        <v>5812.5</v>
      </c>
      <c r="J235" s="124">
        <v>5812.5</v>
      </c>
      <c r="K235" s="125">
        <v>231</v>
      </c>
      <c r="L235" s="123" t="s">
        <v>418</v>
      </c>
      <c r="M235" s="123" t="s">
        <v>424</v>
      </c>
      <c r="N235" s="126" t="s">
        <v>428</v>
      </c>
      <c r="O235" s="128">
        <v>11649068.350000001</v>
      </c>
      <c r="P235" s="128">
        <v>0</v>
      </c>
      <c r="Q235" s="128">
        <v>0</v>
      </c>
      <c r="R235" s="128">
        <v>0</v>
      </c>
      <c r="S235" s="128">
        <f t="shared" si="107"/>
        <v>11649068.350000001</v>
      </c>
      <c r="T235" s="128">
        <f t="shared" si="104"/>
        <v>2004.1407913978496</v>
      </c>
      <c r="U235" s="128">
        <v>2004.14</v>
      </c>
      <c r="V235" s="129"/>
    </row>
    <row r="236" spans="1:22" ht="35.25" x14ac:dyDescent="0.5">
      <c r="A236">
        <v>1</v>
      </c>
      <c r="B236" s="131">
        <f>SUBTOTAL(9,$A$186:A236)</f>
        <v>49</v>
      </c>
      <c r="C236" s="10" t="s">
        <v>133</v>
      </c>
      <c r="D236" s="123"/>
      <c r="E236" s="123">
        <v>1980</v>
      </c>
      <c r="F236" s="123" t="s">
        <v>421</v>
      </c>
      <c r="G236" s="123">
        <v>9</v>
      </c>
      <c r="H236" s="123" t="s">
        <v>327</v>
      </c>
      <c r="I236" s="124">
        <v>6488.2</v>
      </c>
      <c r="J236" s="124">
        <v>5784.3</v>
      </c>
      <c r="K236" s="125">
        <v>235</v>
      </c>
      <c r="L236" s="123" t="s">
        <v>418</v>
      </c>
      <c r="M236" s="123" t="s">
        <v>424</v>
      </c>
      <c r="N236" s="126" t="s">
        <v>435</v>
      </c>
      <c r="O236" s="128">
        <v>10891889.600000001</v>
      </c>
      <c r="P236" s="128">
        <v>0</v>
      </c>
      <c r="Q236" s="128">
        <v>0</v>
      </c>
      <c r="R236" s="128">
        <v>0</v>
      </c>
      <c r="S236" s="128">
        <f t="shared" si="107"/>
        <v>10891889.600000001</v>
      </c>
      <c r="T236" s="128">
        <f t="shared" si="104"/>
        <v>1678.7228507136035</v>
      </c>
      <c r="U236" s="128">
        <v>1710.31</v>
      </c>
      <c r="V236" s="129"/>
    </row>
    <row r="237" spans="1:22" ht="35.25" x14ac:dyDescent="0.5">
      <c r="A237">
        <v>1</v>
      </c>
      <c r="B237" s="131">
        <f>SUBTOTAL(9,$A$186:A237)</f>
        <v>50</v>
      </c>
      <c r="C237" s="10" t="s">
        <v>134</v>
      </c>
      <c r="D237" s="123"/>
      <c r="E237" s="123">
        <v>1979</v>
      </c>
      <c r="F237" s="123" t="s">
        <v>421</v>
      </c>
      <c r="G237" s="123">
        <v>9</v>
      </c>
      <c r="H237" s="123" t="s">
        <v>327</v>
      </c>
      <c r="I237" s="124">
        <v>6596.6</v>
      </c>
      <c r="J237" s="124">
        <v>5833.2</v>
      </c>
      <c r="K237" s="125">
        <v>281</v>
      </c>
      <c r="L237" s="123" t="s">
        <v>418</v>
      </c>
      <c r="M237" s="123" t="s">
        <v>424</v>
      </c>
      <c r="N237" s="126" t="s">
        <v>435</v>
      </c>
      <c r="O237" s="128">
        <v>11937482.050000001</v>
      </c>
      <c r="P237" s="128">
        <v>0</v>
      </c>
      <c r="Q237" s="128">
        <v>0</v>
      </c>
      <c r="R237" s="128">
        <v>0</v>
      </c>
      <c r="S237" s="128">
        <f t="shared" si="107"/>
        <v>11937482.050000001</v>
      </c>
      <c r="T237" s="128">
        <f t="shared" si="104"/>
        <v>1809.6416411484704</v>
      </c>
      <c r="U237" s="128">
        <v>1809.64</v>
      </c>
      <c r="V237" s="129"/>
    </row>
    <row r="238" spans="1:22" ht="35.25" x14ac:dyDescent="0.5">
      <c r="A238">
        <v>1</v>
      </c>
      <c r="B238" s="131">
        <f>SUBTOTAL(9,$A$186:A238)</f>
        <v>51</v>
      </c>
      <c r="C238" s="10" t="s">
        <v>135</v>
      </c>
      <c r="D238" s="123"/>
      <c r="E238" s="123">
        <v>1979</v>
      </c>
      <c r="F238" s="123" t="s">
        <v>420</v>
      </c>
      <c r="G238" s="123">
        <v>5</v>
      </c>
      <c r="H238" s="123" t="s">
        <v>324</v>
      </c>
      <c r="I238" s="124">
        <v>5602.4</v>
      </c>
      <c r="J238" s="124">
        <v>4226</v>
      </c>
      <c r="K238" s="125">
        <v>156</v>
      </c>
      <c r="L238" s="123" t="s">
        <v>418</v>
      </c>
      <c r="M238" s="123" t="s">
        <v>424</v>
      </c>
      <c r="N238" s="126" t="s">
        <v>436</v>
      </c>
      <c r="O238" s="128">
        <v>21443494.300000001</v>
      </c>
      <c r="P238" s="128">
        <v>0</v>
      </c>
      <c r="Q238" s="128">
        <v>0</v>
      </c>
      <c r="R238" s="128">
        <v>0</v>
      </c>
      <c r="S238" s="128">
        <f t="shared" si="107"/>
        <v>21443494.300000001</v>
      </c>
      <c r="T238" s="128">
        <f t="shared" si="104"/>
        <v>3827.5550299871488</v>
      </c>
      <c r="U238" s="128">
        <v>3827.56</v>
      </c>
      <c r="V238" s="129"/>
    </row>
    <row r="239" spans="1:22" ht="35.25" x14ac:dyDescent="0.5">
      <c r="A239">
        <v>1</v>
      </c>
      <c r="B239" s="131">
        <f>SUBTOTAL(9,$A$186:A239)</f>
        <v>52</v>
      </c>
      <c r="C239" s="10" t="s">
        <v>136</v>
      </c>
      <c r="D239" s="123"/>
      <c r="E239" s="123">
        <v>1961</v>
      </c>
      <c r="F239" s="123" t="s">
        <v>420</v>
      </c>
      <c r="G239" s="123">
        <v>5</v>
      </c>
      <c r="H239" s="123" t="s">
        <v>322</v>
      </c>
      <c r="I239" s="124">
        <v>3397.1</v>
      </c>
      <c r="J239" s="124">
        <v>3397.1</v>
      </c>
      <c r="K239" s="125">
        <v>101</v>
      </c>
      <c r="L239" s="123" t="s">
        <v>418</v>
      </c>
      <c r="M239" s="123" t="s">
        <v>424</v>
      </c>
      <c r="N239" s="126" t="s">
        <v>436</v>
      </c>
      <c r="O239" s="128">
        <v>14865271.210000001</v>
      </c>
      <c r="P239" s="128">
        <v>0</v>
      </c>
      <c r="Q239" s="128">
        <v>0</v>
      </c>
      <c r="R239" s="128">
        <v>0</v>
      </c>
      <c r="S239" s="128">
        <f t="shared" si="107"/>
        <v>14865271.210000001</v>
      </c>
      <c r="T239" s="128">
        <f t="shared" si="104"/>
        <v>4375.8709516940926</v>
      </c>
      <c r="U239" s="128">
        <v>4458.2</v>
      </c>
      <c r="V239" s="129"/>
    </row>
    <row r="240" spans="1:22" ht="35.25" x14ac:dyDescent="0.5">
      <c r="A240">
        <v>1</v>
      </c>
      <c r="B240" s="131">
        <f>SUBTOTAL(9,$A$186:A240)</f>
        <v>53</v>
      </c>
      <c r="C240" s="10" t="s">
        <v>137</v>
      </c>
      <c r="D240" s="123"/>
      <c r="E240" s="123">
        <v>1955</v>
      </c>
      <c r="F240" s="123" t="s">
        <v>420</v>
      </c>
      <c r="G240" s="123">
        <v>2</v>
      </c>
      <c r="H240" s="123" t="s">
        <v>320</v>
      </c>
      <c r="I240" s="124">
        <v>631.6</v>
      </c>
      <c r="J240" s="124">
        <v>406.9</v>
      </c>
      <c r="K240" s="125">
        <v>25</v>
      </c>
      <c r="L240" s="123" t="s">
        <v>418</v>
      </c>
      <c r="M240" s="123" t="s">
        <v>425</v>
      </c>
      <c r="N240" s="126" t="s">
        <v>426</v>
      </c>
      <c r="O240" s="128">
        <v>9210843.1799999997</v>
      </c>
      <c r="P240" s="128">
        <v>0</v>
      </c>
      <c r="Q240" s="128">
        <v>0</v>
      </c>
      <c r="R240" s="128">
        <v>0</v>
      </c>
      <c r="S240" s="128">
        <f t="shared" si="107"/>
        <v>9210843.1799999997</v>
      </c>
      <c r="T240" s="128">
        <f t="shared" si="104"/>
        <v>14583.34892336922</v>
      </c>
      <c r="U240" s="128">
        <v>14583.35</v>
      </c>
      <c r="V240" s="129"/>
    </row>
    <row r="241" spans="1:22" ht="35.25" x14ac:dyDescent="0.5">
      <c r="A241">
        <v>1</v>
      </c>
      <c r="B241" s="131">
        <f>SUBTOTAL(9,$A$186:A241)</f>
        <v>54</v>
      </c>
      <c r="C241" s="10" t="s">
        <v>138</v>
      </c>
      <c r="D241" s="123"/>
      <c r="E241" s="123">
        <v>1992</v>
      </c>
      <c r="F241" s="123" t="s">
        <v>421</v>
      </c>
      <c r="G241" s="123">
        <v>9</v>
      </c>
      <c r="H241" s="123" t="s">
        <v>320</v>
      </c>
      <c r="I241" s="124">
        <v>4929.04</v>
      </c>
      <c r="J241" s="124">
        <v>3924.5</v>
      </c>
      <c r="K241" s="125">
        <v>189</v>
      </c>
      <c r="L241" s="123" t="s">
        <v>418</v>
      </c>
      <c r="M241" s="123" t="s">
        <v>424</v>
      </c>
      <c r="N241" s="126" t="s">
        <v>549</v>
      </c>
      <c r="O241" s="128">
        <v>8251431.5</v>
      </c>
      <c r="P241" s="128">
        <v>0</v>
      </c>
      <c r="Q241" s="128">
        <v>0</v>
      </c>
      <c r="R241" s="128">
        <v>0</v>
      </c>
      <c r="S241" s="128">
        <f t="shared" si="107"/>
        <v>8251431.5</v>
      </c>
      <c r="T241" s="128">
        <f t="shared" si="104"/>
        <v>1674.0443372340253</v>
      </c>
      <c r="U241" s="128">
        <v>1705.54</v>
      </c>
      <c r="V241" s="129"/>
    </row>
    <row r="242" spans="1:22" ht="35.25" x14ac:dyDescent="0.5">
      <c r="A242">
        <v>1</v>
      </c>
      <c r="B242" s="131">
        <f>SUBTOTAL(9,$A$186:A242)</f>
        <v>55</v>
      </c>
      <c r="C242" s="10" t="s">
        <v>139</v>
      </c>
      <c r="D242" s="123"/>
      <c r="E242" s="123">
        <v>1962</v>
      </c>
      <c r="F242" s="123" t="s">
        <v>420</v>
      </c>
      <c r="G242" s="123">
        <v>3</v>
      </c>
      <c r="H242" s="123" t="s">
        <v>320</v>
      </c>
      <c r="I242" s="124">
        <v>1088.8</v>
      </c>
      <c r="J242" s="124">
        <v>876.2</v>
      </c>
      <c r="K242" s="125">
        <v>30</v>
      </c>
      <c r="L242" s="123" t="s">
        <v>418</v>
      </c>
      <c r="M242" s="123" t="s">
        <v>424</v>
      </c>
      <c r="N242" s="126" t="s">
        <v>429</v>
      </c>
      <c r="O242" s="128">
        <v>6093364.7999999998</v>
      </c>
      <c r="P242" s="128">
        <v>0</v>
      </c>
      <c r="Q242" s="128">
        <v>0</v>
      </c>
      <c r="R242" s="128">
        <v>0</v>
      </c>
      <c r="S242" s="128">
        <f t="shared" si="107"/>
        <v>6093364.7999999998</v>
      </c>
      <c r="T242" s="128">
        <f t="shared" si="104"/>
        <v>5596.4041146216023</v>
      </c>
      <c r="U242" s="128">
        <v>5701.7</v>
      </c>
      <c r="V242" s="129"/>
    </row>
    <row r="243" spans="1:22" ht="35.25" x14ac:dyDescent="0.5">
      <c r="A243">
        <v>1</v>
      </c>
      <c r="B243" s="131">
        <f>SUBTOTAL(9,$A$186:A243)</f>
        <v>56</v>
      </c>
      <c r="C243" s="10" t="s">
        <v>679</v>
      </c>
      <c r="D243" s="123"/>
      <c r="E243" s="123">
        <v>2000</v>
      </c>
      <c r="F243" s="123" t="s">
        <v>421</v>
      </c>
      <c r="G243" s="123">
        <v>9</v>
      </c>
      <c r="H243" s="123">
        <v>4</v>
      </c>
      <c r="I243" s="124">
        <v>12720.6</v>
      </c>
      <c r="J243" s="124">
        <v>10195.6</v>
      </c>
      <c r="K243" s="125">
        <v>335</v>
      </c>
      <c r="L243" s="123" t="s">
        <v>418</v>
      </c>
      <c r="M243" s="123" t="s">
        <v>424</v>
      </c>
      <c r="N243" s="126" t="s">
        <v>431</v>
      </c>
      <c r="O243" s="128">
        <v>16010106</v>
      </c>
      <c r="P243" s="128">
        <v>0</v>
      </c>
      <c r="Q243" s="128">
        <v>0</v>
      </c>
      <c r="R243" s="128">
        <v>0</v>
      </c>
      <c r="S243" s="128">
        <f t="shared" ref="S243:S244" si="108">O243-P243-Q243-R243</f>
        <v>16010106</v>
      </c>
      <c r="T243" s="128">
        <f t="shared" si="104"/>
        <v>1258.5967643035706</v>
      </c>
      <c r="U243" s="128">
        <f>T243</f>
        <v>1258.5967643035706</v>
      </c>
      <c r="V243" s="129"/>
    </row>
    <row r="244" spans="1:22" ht="35.25" x14ac:dyDescent="0.5">
      <c r="A244">
        <v>1</v>
      </c>
      <c r="B244" s="131">
        <f>SUBTOTAL(9,$A$186:A244)</f>
        <v>57</v>
      </c>
      <c r="C244" s="10" t="s">
        <v>651</v>
      </c>
      <c r="D244" s="123"/>
      <c r="E244" s="123">
        <v>2001</v>
      </c>
      <c r="F244" s="123" t="s">
        <v>421</v>
      </c>
      <c r="G244" s="123">
        <v>9</v>
      </c>
      <c r="H244" s="123">
        <v>7</v>
      </c>
      <c r="I244" s="124">
        <v>21475.9</v>
      </c>
      <c r="J244" s="124">
        <v>17117.099999999999</v>
      </c>
      <c r="K244" s="125">
        <v>453</v>
      </c>
      <c r="L244" s="123" t="s">
        <v>418</v>
      </c>
      <c r="M244" s="123" t="s">
        <v>424</v>
      </c>
      <c r="N244" s="126" t="s">
        <v>431</v>
      </c>
      <c r="O244" s="128">
        <v>28178440.5</v>
      </c>
      <c r="P244" s="128">
        <v>0</v>
      </c>
      <c r="Q244" s="128">
        <v>0</v>
      </c>
      <c r="R244" s="128">
        <v>0</v>
      </c>
      <c r="S244" s="128">
        <f t="shared" si="108"/>
        <v>28178440.5</v>
      </c>
      <c r="T244" s="128">
        <f t="shared" si="104"/>
        <v>1312.0959075056226</v>
      </c>
      <c r="U244" s="128">
        <f>T244</f>
        <v>1312.0959075056226</v>
      </c>
      <c r="V244" s="129"/>
    </row>
    <row r="245" spans="1:22" ht="35.25" x14ac:dyDescent="0.5">
      <c r="B245" s="145" t="s">
        <v>472</v>
      </c>
      <c r="C245" s="145"/>
      <c r="D245" s="123" t="s">
        <v>423</v>
      </c>
      <c r="E245" s="123" t="s">
        <v>423</v>
      </c>
      <c r="F245" s="123" t="s">
        <v>423</v>
      </c>
      <c r="G245" s="123" t="s">
        <v>423</v>
      </c>
      <c r="H245" s="123" t="s">
        <v>423</v>
      </c>
      <c r="I245" s="124">
        <f>SUM(I246:I256)</f>
        <v>38468.080000000009</v>
      </c>
      <c r="J245" s="124">
        <f t="shared" ref="J245:K245" si="109">SUM(J246:J256)</f>
        <v>31450.89</v>
      </c>
      <c r="K245" s="125">
        <f t="shared" si="109"/>
        <v>1301</v>
      </c>
      <c r="L245" s="123" t="s">
        <v>423</v>
      </c>
      <c r="M245" s="123" t="s">
        <v>423</v>
      </c>
      <c r="N245" s="126" t="s">
        <v>423</v>
      </c>
      <c r="O245" s="128">
        <f>SUM(O246:O256)</f>
        <v>155116511.13</v>
      </c>
      <c r="P245" s="128">
        <f t="shared" ref="P245:S245" si="110">SUM(P246:P256)</f>
        <v>0</v>
      </c>
      <c r="Q245" s="128">
        <f t="shared" si="110"/>
        <v>0</v>
      </c>
      <c r="R245" s="128">
        <f t="shared" si="110"/>
        <v>0</v>
      </c>
      <c r="S245" s="128">
        <f t="shared" si="110"/>
        <v>155116511.13</v>
      </c>
      <c r="T245" s="128">
        <f t="shared" si="104"/>
        <v>4032.343468402893</v>
      </c>
      <c r="U245" s="128">
        <f>MAX(U246:U256)</f>
        <v>18687.41</v>
      </c>
      <c r="V245" s="129"/>
    </row>
    <row r="246" spans="1:22" ht="35.25" x14ac:dyDescent="0.5">
      <c r="A246">
        <v>1</v>
      </c>
      <c r="B246" s="131">
        <f>SUBTOTAL(9,$A$186:A246)</f>
        <v>58</v>
      </c>
      <c r="C246" s="10" t="s">
        <v>403</v>
      </c>
      <c r="D246" s="27"/>
      <c r="E246" s="123">
        <v>1954</v>
      </c>
      <c r="F246" s="123" t="s">
        <v>420</v>
      </c>
      <c r="G246" s="123">
        <v>4</v>
      </c>
      <c r="H246" s="123" t="s">
        <v>327</v>
      </c>
      <c r="I246" s="124">
        <v>3082.9</v>
      </c>
      <c r="J246" s="124">
        <v>1559.69</v>
      </c>
      <c r="K246" s="125">
        <v>28</v>
      </c>
      <c r="L246" s="123" t="s">
        <v>418</v>
      </c>
      <c r="M246" s="123" t="s">
        <v>427</v>
      </c>
      <c r="N246" s="126" t="s">
        <v>481</v>
      </c>
      <c r="O246" s="128">
        <v>23869892.800000001</v>
      </c>
      <c r="P246" s="128">
        <v>0</v>
      </c>
      <c r="Q246" s="128">
        <v>0</v>
      </c>
      <c r="R246" s="128">
        <v>0</v>
      </c>
      <c r="S246" s="128">
        <f t="shared" si="107"/>
        <v>23869892.800000001</v>
      </c>
      <c r="T246" s="128">
        <f t="shared" si="104"/>
        <v>7742.6750137857216</v>
      </c>
      <c r="U246" s="128">
        <v>7742.68</v>
      </c>
      <c r="V246" s="129"/>
    </row>
    <row r="247" spans="1:22" ht="35.25" x14ac:dyDescent="0.5">
      <c r="A247">
        <v>1</v>
      </c>
      <c r="B247" s="131">
        <f>SUBTOTAL(9,$A$186:A247)</f>
        <v>59</v>
      </c>
      <c r="C247" s="10" t="s">
        <v>395</v>
      </c>
      <c r="D247" s="27"/>
      <c r="E247" s="123">
        <v>1964</v>
      </c>
      <c r="F247" s="123" t="s">
        <v>420</v>
      </c>
      <c r="G247" s="123">
        <v>4</v>
      </c>
      <c r="H247" s="123" t="s">
        <v>327</v>
      </c>
      <c r="I247" s="124">
        <v>2620.8000000000002</v>
      </c>
      <c r="J247" s="124">
        <v>2511.5</v>
      </c>
      <c r="K247" s="125">
        <v>38</v>
      </c>
      <c r="L247" s="123" t="s">
        <v>418</v>
      </c>
      <c r="M247" s="123" t="s">
        <v>427</v>
      </c>
      <c r="N247" s="126" t="s">
        <v>482</v>
      </c>
      <c r="O247" s="128">
        <v>11412364.49</v>
      </c>
      <c r="P247" s="128">
        <v>0</v>
      </c>
      <c r="Q247" s="128">
        <v>0</v>
      </c>
      <c r="R247" s="128">
        <v>0</v>
      </c>
      <c r="S247" s="128">
        <f t="shared" si="107"/>
        <v>11412364.49</v>
      </c>
      <c r="T247" s="128">
        <f t="shared" si="104"/>
        <v>4354.5346802503054</v>
      </c>
      <c r="U247" s="128">
        <v>4436.46</v>
      </c>
      <c r="V247" s="129"/>
    </row>
    <row r="248" spans="1:22" ht="35.25" x14ac:dyDescent="0.5">
      <c r="A248">
        <v>1</v>
      </c>
      <c r="B248" s="131">
        <f>SUBTOTAL(9,$A$186:A248)</f>
        <v>60</v>
      </c>
      <c r="C248" s="10" t="s">
        <v>394</v>
      </c>
      <c r="D248" s="27"/>
      <c r="E248" s="123">
        <v>1959</v>
      </c>
      <c r="F248" s="123" t="s">
        <v>420</v>
      </c>
      <c r="G248" s="123">
        <v>4</v>
      </c>
      <c r="H248" s="123" t="s">
        <v>322</v>
      </c>
      <c r="I248" s="124">
        <v>2583.1</v>
      </c>
      <c r="J248" s="124">
        <v>2583.1</v>
      </c>
      <c r="K248" s="125">
        <v>136</v>
      </c>
      <c r="L248" s="123" t="s">
        <v>418</v>
      </c>
      <c r="M248" s="123" t="s">
        <v>424</v>
      </c>
      <c r="N248" s="126" t="s">
        <v>474</v>
      </c>
      <c r="O248" s="128">
        <v>14459046.890000001</v>
      </c>
      <c r="P248" s="128">
        <v>0</v>
      </c>
      <c r="Q248" s="128">
        <v>0</v>
      </c>
      <c r="R248" s="128">
        <v>0</v>
      </c>
      <c r="S248" s="128">
        <f t="shared" si="107"/>
        <v>14459046.890000001</v>
      </c>
      <c r="T248" s="128">
        <f t="shared" si="104"/>
        <v>5597.5559947350084</v>
      </c>
      <c r="U248" s="128">
        <v>5702.87</v>
      </c>
      <c r="V248" s="129"/>
    </row>
    <row r="249" spans="1:22" ht="35.25" x14ac:dyDescent="0.5">
      <c r="A249">
        <v>1</v>
      </c>
      <c r="B249" s="131">
        <f>SUBTOTAL(9,$A$186:A249)</f>
        <v>61</v>
      </c>
      <c r="C249" s="10" t="s">
        <v>399</v>
      </c>
      <c r="D249" s="27"/>
      <c r="E249" s="123">
        <v>1979</v>
      </c>
      <c r="F249" s="123" t="s">
        <v>420</v>
      </c>
      <c r="G249" s="123">
        <v>5</v>
      </c>
      <c r="H249" s="123" t="s">
        <v>324</v>
      </c>
      <c r="I249" s="124">
        <v>4894.3999999999996</v>
      </c>
      <c r="J249" s="124">
        <v>4412.3999999999996</v>
      </c>
      <c r="K249" s="125">
        <v>276</v>
      </c>
      <c r="L249" s="123" t="s">
        <v>418</v>
      </c>
      <c r="M249" s="123" t="s">
        <v>424</v>
      </c>
      <c r="N249" s="126" t="s">
        <v>477</v>
      </c>
      <c r="O249" s="128">
        <v>15804553.699999999</v>
      </c>
      <c r="P249" s="128">
        <v>0</v>
      </c>
      <c r="Q249" s="128">
        <v>0</v>
      </c>
      <c r="R249" s="128">
        <v>0</v>
      </c>
      <c r="S249" s="128">
        <f t="shared" si="107"/>
        <v>15804553.699999999</v>
      </c>
      <c r="T249" s="128">
        <f t="shared" si="104"/>
        <v>3229.1095333442304</v>
      </c>
      <c r="U249" s="128">
        <v>3229.11</v>
      </c>
      <c r="V249" s="129"/>
    </row>
    <row r="250" spans="1:22" ht="35.25" x14ac:dyDescent="0.5">
      <c r="A250">
        <v>1</v>
      </c>
      <c r="B250" s="131">
        <f>SUBTOTAL(9,$A$186:A250)</f>
        <v>62</v>
      </c>
      <c r="C250" s="10" t="s">
        <v>406</v>
      </c>
      <c r="D250" s="27"/>
      <c r="E250" s="123">
        <v>1995</v>
      </c>
      <c r="F250" s="123" t="s">
        <v>421</v>
      </c>
      <c r="G250" s="123">
        <v>9</v>
      </c>
      <c r="H250" s="123" t="s">
        <v>322</v>
      </c>
      <c r="I250" s="124">
        <v>10288.06</v>
      </c>
      <c r="J250" s="124">
        <v>7717.7</v>
      </c>
      <c r="K250" s="125">
        <v>344</v>
      </c>
      <c r="L250" s="123" t="s">
        <v>418</v>
      </c>
      <c r="M250" s="123" t="s">
        <v>424</v>
      </c>
      <c r="N250" s="126" t="s">
        <v>474</v>
      </c>
      <c r="O250" s="128">
        <v>15933887.199999999</v>
      </c>
      <c r="P250" s="128">
        <v>0</v>
      </c>
      <c r="Q250" s="128">
        <v>0</v>
      </c>
      <c r="R250" s="128">
        <v>0</v>
      </c>
      <c r="S250" s="128">
        <f t="shared" si="107"/>
        <v>15933887.199999999</v>
      </c>
      <c r="T250" s="128">
        <f t="shared" si="104"/>
        <v>1548.7747155440384</v>
      </c>
      <c r="U250" s="128">
        <v>1548.77</v>
      </c>
      <c r="V250" s="129"/>
    </row>
    <row r="251" spans="1:22" ht="35.25" x14ac:dyDescent="0.5">
      <c r="A251">
        <v>1</v>
      </c>
      <c r="B251" s="131">
        <f>SUBTOTAL(9,$A$186:A251)</f>
        <v>63</v>
      </c>
      <c r="C251" s="10" t="s">
        <v>411</v>
      </c>
      <c r="D251" s="27"/>
      <c r="E251" s="123">
        <v>1973</v>
      </c>
      <c r="F251" s="123" t="s">
        <v>420</v>
      </c>
      <c r="G251" s="123">
        <v>2</v>
      </c>
      <c r="H251" s="123" t="s">
        <v>320</v>
      </c>
      <c r="I251" s="124">
        <v>774.7</v>
      </c>
      <c r="J251" s="124">
        <v>712.5</v>
      </c>
      <c r="K251" s="125">
        <v>16</v>
      </c>
      <c r="L251" s="123" t="s">
        <v>418</v>
      </c>
      <c r="M251" s="123" t="s">
        <v>424</v>
      </c>
      <c r="N251" s="126" t="s">
        <v>478</v>
      </c>
      <c r="O251" s="128">
        <v>8276820.5199999996</v>
      </c>
      <c r="P251" s="128">
        <v>0</v>
      </c>
      <c r="Q251" s="128">
        <v>0</v>
      </c>
      <c r="R251" s="128">
        <v>0</v>
      </c>
      <c r="S251" s="128">
        <f t="shared" si="107"/>
        <v>8276820.5199999996</v>
      </c>
      <c r="T251" s="128">
        <f t="shared" si="104"/>
        <v>10683.904117722988</v>
      </c>
      <c r="U251" s="128">
        <v>10884.92</v>
      </c>
      <c r="V251" s="129"/>
    </row>
    <row r="252" spans="1:22" ht="35.25" x14ac:dyDescent="0.5">
      <c r="A252">
        <v>1</v>
      </c>
      <c r="B252" s="131">
        <f>SUBTOTAL(9,$A$186:A252)</f>
        <v>64</v>
      </c>
      <c r="C252" s="10" t="s">
        <v>384</v>
      </c>
      <c r="D252" s="27"/>
      <c r="E252" s="123">
        <v>1973</v>
      </c>
      <c r="F252" s="123" t="s">
        <v>420</v>
      </c>
      <c r="G252" s="123">
        <v>5</v>
      </c>
      <c r="H252" s="123" t="s">
        <v>322</v>
      </c>
      <c r="I252" s="124">
        <v>3581.4</v>
      </c>
      <c r="J252" s="124">
        <v>3309.3</v>
      </c>
      <c r="K252" s="125">
        <v>70</v>
      </c>
      <c r="L252" s="123" t="s">
        <v>418</v>
      </c>
      <c r="M252" s="123" t="s">
        <v>424</v>
      </c>
      <c r="N252" s="126" t="s">
        <v>479</v>
      </c>
      <c r="O252" s="128">
        <v>16075992.4</v>
      </c>
      <c r="P252" s="128">
        <v>0</v>
      </c>
      <c r="Q252" s="128">
        <v>0</v>
      </c>
      <c r="R252" s="128">
        <v>0</v>
      </c>
      <c r="S252" s="128">
        <f t="shared" si="107"/>
        <v>16075992.4</v>
      </c>
      <c r="T252" s="128">
        <f t="shared" si="104"/>
        <v>4488.7452951359801</v>
      </c>
      <c r="U252" s="128">
        <v>4488.7452951359801</v>
      </c>
      <c r="V252" s="129"/>
    </row>
    <row r="253" spans="1:22" ht="35.25" x14ac:dyDescent="0.5">
      <c r="A253">
        <v>1</v>
      </c>
      <c r="B253" s="131">
        <f>SUBTOTAL(9,$A$186:A253)</f>
        <v>65</v>
      </c>
      <c r="C253" s="10" t="s">
        <v>386</v>
      </c>
      <c r="D253" s="27"/>
      <c r="E253" s="123">
        <v>1952</v>
      </c>
      <c r="F253" s="123" t="s">
        <v>575</v>
      </c>
      <c r="G253" s="123">
        <v>2</v>
      </c>
      <c r="H253" s="123" t="s">
        <v>327</v>
      </c>
      <c r="I253" s="124">
        <v>864.72</v>
      </c>
      <c r="J253" s="124">
        <v>783.4</v>
      </c>
      <c r="K253" s="125">
        <v>37</v>
      </c>
      <c r="L253" s="123" t="s">
        <v>418</v>
      </c>
      <c r="M253" s="123" t="s">
        <v>424</v>
      </c>
      <c r="N253" s="126" t="s">
        <v>477</v>
      </c>
      <c r="O253" s="128">
        <v>16159374</v>
      </c>
      <c r="P253" s="128">
        <v>0</v>
      </c>
      <c r="Q253" s="128">
        <v>0</v>
      </c>
      <c r="R253" s="128">
        <v>0</v>
      </c>
      <c r="S253" s="128">
        <f t="shared" si="107"/>
        <v>16159374</v>
      </c>
      <c r="T253" s="128">
        <f t="shared" si="104"/>
        <v>18687.406328059951</v>
      </c>
      <c r="U253" s="128">
        <v>18687.41</v>
      </c>
      <c r="V253" s="129"/>
    </row>
    <row r="254" spans="1:22" ht="35.25" x14ac:dyDescent="0.5">
      <c r="A254">
        <v>1</v>
      </c>
      <c r="B254" s="131">
        <f>SUBTOTAL(9,$A$186:A254)</f>
        <v>66</v>
      </c>
      <c r="C254" s="10" t="s">
        <v>383</v>
      </c>
      <c r="D254" s="27"/>
      <c r="E254" s="123">
        <v>1963</v>
      </c>
      <c r="F254" s="123" t="s">
        <v>420</v>
      </c>
      <c r="G254" s="123">
        <v>4</v>
      </c>
      <c r="H254" s="123" t="s">
        <v>322</v>
      </c>
      <c r="I254" s="124">
        <v>1655</v>
      </c>
      <c r="J254" s="124">
        <v>982</v>
      </c>
      <c r="K254" s="125">
        <v>36</v>
      </c>
      <c r="L254" s="123" t="s">
        <v>418</v>
      </c>
      <c r="M254" s="123" t="s">
        <v>424</v>
      </c>
      <c r="N254" s="126" t="s">
        <v>476</v>
      </c>
      <c r="O254" s="128">
        <v>13024567.26</v>
      </c>
      <c r="P254" s="128">
        <v>0</v>
      </c>
      <c r="Q254" s="128">
        <v>0</v>
      </c>
      <c r="R254" s="128">
        <v>0</v>
      </c>
      <c r="S254" s="128">
        <f t="shared" si="107"/>
        <v>13024567.26</v>
      </c>
      <c r="T254" s="128">
        <f t="shared" si="104"/>
        <v>7869.8291601208457</v>
      </c>
      <c r="U254" s="128">
        <v>8017.9</v>
      </c>
      <c r="V254" s="129"/>
    </row>
    <row r="255" spans="1:22" ht="35.25" x14ac:dyDescent="0.5">
      <c r="A255">
        <v>1</v>
      </c>
      <c r="B255" s="131">
        <f>SUBTOTAL(9,$A$186:A255)</f>
        <v>67</v>
      </c>
      <c r="C255" s="10" t="s">
        <v>402</v>
      </c>
      <c r="D255" s="27"/>
      <c r="E255" s="123">
        <v>1965</v>
      </c>
      <c r="F255" s="123" t="s">
        <v>420</v>
      </c>
      <c r="G255" s="123">
        <v>2</v>
      </c>
      <c r="H255" s="123" t="s">
        <v>320</v>
      </c>
      <c r="I255" s="124">
        <v>679.7</v>
      </c>
      <c r="J255" s="124">
        <v>631.20000000000005</v>
      </c>
      <c r="K255" s="125">
        <v>16</v>
      </c>
      <c r="L255" s="123" t="s">
        <v>418</v>
      </c>
      <c r="M255" s="123" t="s">
        <v>425</v>
      </c>
      <c r="N255" s="126" t="s">
        <v>426</v>
      </c>
      <c r="O255" s="128">
        <v>7610167.3700000001</v>
      </c>
      <c r="P255" s="128">
        <v>0</v>
      </c>
      <c r="Q255" s="128">
        <v>0</v>
      </c>
      <c r="R255" s="128">
        <v>0</v>
      </c>
      <c r="S255" s="128">
        <f t="shared" si="107"/>
        <v>7610167.3700000001</v>
      </c>
      <c r="T255" s="128">
        <f t="shared" ref="T255:T288" si="111">O255/I255</f>
        <v>11196.362174488744</v>
      </c>
      <c r="U255" s="128">
        <v>11196.362174488744</v>
      </c>
      <c r="V255" s="129"/>
    </row>
    <row r="256" spans="1:22" ht="35.25" x14ac:dyDescent="0.5">
      <c r="A256">
        <v>1</v>
      </c>
      <c r="B256" s="131">
        <f>SUBTOTAL(9,$A$186:A256)</f>
        <v>68</v>
      </c>
      <c r="C256" s="10" t="s">
        <v>404</v>
      </c>
      <c r="D256" s="27"/>
      <c r="E256" s="123">
        <v>2002</v>
      </c>
      <c r="F256" s="123" t="s">
        <v>420</v>
      </c>
      <c r="G256" s="123">
        <v>9</v>
      </c>
      <c r="H256" s="123" t="s">
        <v>327</v>
      </c>
      <c r="I256" s="124">
        <v>7443.3</v>
      </c>
      <c r="J256" s="124">
        <v>6248.1</v>
      </c>
      <c r="K256" s="125">
        <v>304</v>
      </c>
      <c r="L256" s="123" t="s">
        <v>418</v>
      </c>
      <c r="M256" s="123" t="s">
        <v>427</v>
      </c>
      <c r="N256" s="126" t="s">
        <v>484</v>
      </c>
      <c r="O256" s="128">
        <v>12489844.5</v>
      </c>
      <c r="P256" s="128">
        <v>0</v>
      </c>
      <c r="Q256" s="128">
        <v>0</v>
      </c>
      <c r="R256" s="128">
        <v>0</v>
      </c>
      <c r="S256" s="128">
        <f t="shared" si="107"/>
        <v>12489844.5</v>
      </c>
      <c r="T256" s="128">
        <f t="shared" si="111"/>
        <v>1677.9982668977468</v>
      </c>
      <c r="U256" s="128">
        <v>1677.9982668977468</v>
      </c>
      <c r="V256" s="129"/>
    </row>
    <row r="257" spans="1:22" ht="35.25" x14ac:dyDescent="0.5">
      <c r="B257" s="122" t="s">
        <v>416</v>
      </c>
      <c r="C257" s="130"/>
      <c r="D257" s="123" t="s">
        <v>423</v>
      </c>
      <c r="E257" s="123" t="s">
        <v>423</v>
      </c>
      <c r="F257" s="123" t="s">
        <v>423</v>
      </c>
      <c r="G257" s="123" t="s">
        <v>423</v>
      </c>
      <c r="H257" s="123" t="s">
        <v>423</v>
      </c>
      <c r="I257" s="124">
        <f>I258+I259</f>
        <v>21277.5</v>
      </c>
      <c r="J257" s="124">
        <f t="shared" ref="J257:K257" si="112">J258+J259</f>
        <v>18916.900000000001</v>
      </c>
      <c r="K257" s="125">
        <f t="shared" si="112"/>
        <v>829</v>
      </c>
      <c r="L257" s="123" t="s">
        <v>423</v>
      </c>
      <c r="M257" s="123" t="s">
        <v>423</v>
      </c>
      <c r="N257" s="126" t="s">
        <v>423</v>
      </c>
      <c r="O257" s="128">
        <f>O258+O259</f>
        <v>50610672.200000003</v>
      </c>
      <c r="P257" s="128">
        <f t="shared" ref="P257:S257" si="113">P258+P259</f>
        <v>0</v>
      </c>
      <c r="Q257" s="128">
        <f t="shared" si="113"/>
        <v>0</v>
      </c>
      <c r="R257" s="128">
        <f t="shared" si="113"/>
        <v>0</v>
      </c>
      <c r="S257" s="128">
        <f t="shared" si="113"/>
        <v>50610672.200000003</v>
      </c>
      <c r="T257" s="128">
        <f t="shared" si="111"/>
        <v>2378.6005028786276</v>
      </c>
      <c r="U257" s="128">
        <f>MAX(U258:U259)</f>
        <v>9239.7999999999993</v>
      </c>
      <c r="V257" s="129"/>
    </row>
    <row r="258" spans="1:22" ht="35.25" x14ac:dyDescent="0.5">
      <c r="A258">
        <v>1</v>
      </c>
      <c r="B258" s="131">
        <f>SUBTOTAL(9,$A$186:A258)</f>
        <v>69</v>
      </c>
      <c r="C258" s="10" t="s">
        <v>155</v>
      </c>
      <c r="D258" s="123"/>
      <c r="E258" s="123">
        <v>1978</v>
      </c>
      <c r="F258" s="123" t="s">
        <v>421</v>
      </c>
      <c r="G258" s="123">
        <v>9</v>
      </c>
      <c r="H258" s="123" t="s">
        <v>322</v>
      </c>
      <c r="I258" s="124">
        <v>8704.6</v>
      </c>
      <c r="J258" s="124">
        <v>7675.4</v>
      </c>
      <c r="K258" s="125">
        <v>343</v>
      </c>
      <c r="L258" s="123" t="s">
        <v>418</v>
      </c>
      <c r="M258" s="123" t="s">
        <v>424</v>
      </c>
      <c r="N258" s="126" t="s">
        <v>437</v>
      </c>
      <c r="O258" s="128">
        <v>33957546.200000003</v>
      </c>
      <c r="P258" s="128">
        <v>0</v>
      </c>
      <c r="Q258" s="128">
        <v>0</v>
      </c>
      <c r="R258" s="128">
        <v>0</v>
      </c>
      <c r="S258" s="128">
        <f>O258-P258-Q258-R258</f>
        <v>33957546.200000003</v>
      </c>
      <c r="T258" s="128">
        <f t="shared" si="111"/>
        <v>3901.1035774188363</v>
      </c>
      <c r="U258" s="128">
        <v>9239.7999999999993</v>
      </c>
      <c r="V258" s="129"/>
    </row>
    <row r="259" spans="1:22" ht="35.25" x14ac:dyDescent="0.5">
      <c r="A259">
        <v>1</v>
      </c>
      <c r="B259" s="131">
        <f>SUBTOTAL(9,$A$186:A259)</f>
        <v>70</v>
      </c>
      <c r="C259" s="10" t="s">
        <v>156</v>
      </c>
      <c r="D259" s="123"/>
      <c r="E259" s="123">
        <v>2003</v>
      </c>
      <c r="F259" s="123" t="s">
        <v>421</v>
      </c>
      <c r="G259" s="123">
        <v>10</v>
      </c>
      <c r="H259" s="123" t="s">
        <v>322</v>
      </c>
      <c r="I259" s="124">
        <v>12572.9</v>
      </c>
      <c r="J259" s="124">
        <v>11241.5</v>
      </c>
      <c r="K259" s="125">
        <v>486</v>
      </c>
      <c r="L259" s="123" t="s">
        <v>418</v>
      </c>
      <c r="M259" s="123" t="s">
        <v>424</v>
      </c>
      <c r="N259" s="126" t="s">
        <v>437</v>
      </c>
      <c r="O259" s="128">
        <v>16653126</v>
      </c>
      <c r="P259" s="128">
        <v>0</v>
      </c>
      <c r="Q259" s="128">
        <v>0</v>
      </c>
      <c r="R259" s="128">
        <v>0</v>
      </c>
      <c r="S259" s="128">
        <f t="shared" ref="S259" si="114">O259-P259-Q259-R259</f>
        <v>16653126</v>
      </c>
      <c r="T259" s="128">
        <f t="shared" si="111"/>
        <v>1324.5254475896572</v>
      </c>
      <c r="U259" s="128">
        <v>1324.53</v>
      </c>
      <c r="V259" s="129"/>
    </row>
    <row r="260" spans="1:22" ht="35.25" x14ac:dyDescent="0.5">
      <c r="B260" s="145" t="s">
        <v>678</v>
      </c>
      <c r="C260" s="145"/>
      <c r="D260" s="123" t="s">
        <v>423</v>
      </c>
      <c r="E260" s="123" t="s">
        <v>423</v>
      </c>
      <c r="F260" s="123" t="s">
        <v>423</v>
      </c>
      <c r="G260" s="123" t="s">
        <v>423</v>
      </c>
      <c r="H260" s="123" t="s">
        <v>423</v>
      </c>
      <c r="I260" s="124">
        <f>SUM(I261:I275)</f>
        <v>55078.29</v>
      </c>
      <c r="J260" s="124">
        <f t="shared" ref="J260:K260" si="115">SUM(J261:J275)</f>
        <v>45556.369999999995</v>
      </c>
      <c r="K260" s="125">
        <f t="shared" si="115"/>
        <v>2201</v>
      </c>
      <c r="L260" s="123" t="s">
        <v>423</v>
      </c>
      <c r="M260" s="123" t="s">
        <v>423</v>
      </c>
      <c r="N260" s="126" t="s">
        <v>423</v>
      </c>
      <c r="O260" s="127">
        <f>SUM(O261:O275)</f>
        <v>180300665.99000001</v>
      </c>
      <c r="P260" s="127">
        <f t="shared" ref="P260:S260" si="116">SUM(P261:P275)</f>
        <v>0</v>
      </c>
      <c r="Q260" s="127">
        <f t="shared" si="116"/>
        <v>0</v>
      </c>
      <c r="R260" s="127">
        <f t="shared" si="116"/>
        <v>0</v>
      </c>
      <c r="S260" s="127">
        <f t="shared" si="116"/>
        <v>180300665.99000001</v>
      </c>
      <c r="T260" s="128">
        <f t="shared" si="111"/>
        <v>3273.5341999542834</v>
      </c>
      <c r="U260" s="128">
        <f>MAX(U261:U275)</f>
        <v>14504.26</v>
      </c>
      <c r="V260" s="129"/>
    </row>
    <row r="261" spans="1:22" ht="35.25" x14ac:dyDescent="0.5">
      <c r="A261">
        <v>1</v>
      </c>
      <c r="B261" s="131">
        <f>SUBTOTAL(9,$A$186:A261)</f>
        <v>71</v>
      </c>
      <c r="C261" s="10" t="s">
        <v>328</v>
      </c>
      <c r="D261" s="27"/>
      <c r="E261" s="123">
        <v>1978</v>
      </c>
      <c r="F261" s="123" t="s">
        <v>420</v>
      </c>
      <c r="G261" s="123">
        <v>5</v>
      </c>
      <c r="H261" s="123" t="s">
        <v>322</v>
      </c>
      <c r="I261" s="124">
        <v>3923</v>
      </c>
      <c r="J261" s="124">
        <v>3923</v>
      </c>
      <c r="K261" s="125">
        <v>141</v>
      </c>
      <c r="L261" s="123" t="s">
        <v>418</v>
      </c>
      <c r="M261" s="123" t="s">
        <v>424</v>
      </c>
      <c r="N261" s="126" t="s">
        <v>500</v>
      </c>
      <c r="O261" s="128">
        <v>13580017.5</v>
      </c>
      <c r="P261" s="128">
        <v>0</v>
      </c>
      <c r="Q261" s="128">
        <v>0</v>
      </c>
      <c r="R261" s="128">
        <v>0</v>
      </c>
      <c r="S261" s="128">
        <f t="shared" ref="S261:S271" si="117">O261-P261-Q261-R261</f>
        <v>13580017.5</v>
      </c>
      <c r="T261" s="128">
        <f t="shared" si="111"/>
        <v>3461.6409635483051</v>
      </c>
      <c r="U261" s="128">
        <v>3461.64</v>
      </c>
      <c r="V261" s="129"/>
    </row>
    <row r="262" spans="1:22" ht="35.25" x14ac:dyDescent="0.5">
      <c r="A262">
        <v>1</v>
      </c>
      <c r="B262" s="131">
        <f>SUBTOTAL(9,$A$186:A262)</f>
        <v>72</v>
      </c>
      <c r="C262" s="10" t="s">
        <v>342</v>
      </c>
      <c r="D262" s="27"/>
      <c r="E262" s="123">
        <v>1970</v>
      </c>
      <c r="F262" s="123" t="s">
        <v>420</v>
      </c>
      <c r="G262" s="123">
        <v>5</v>
      </c>
      <c r="H262" s="123" t="s">
        <v>322</v>
      </c>
      <c r="I262" s="124">
        <v>2825.52</v>
      </c>
      <c r="J262" s="124">
        <v>2825.52</v>
      </c>
      <c r="K262" s="125">
        <v>107</v>
      </c>
      <c r="L262" s="123" t="s">
        <v>418</v>
      </c>
      <c r="M262" s="123" t="s">
        <v>424</v>
      </c>
      <c r="N262" s="126" t="s">
        <v>495</v>
      </c>
      <c r="O262" s="128">
        <v>15131855.92</v>
      </c>
      <c r="P262" s="128">
        <v>0</v>
      </c>
      <c r="Q262" s="128">
        <v>0</v>
      </c>
      <c r="R262" s="128">
        <v>0</v>
      </c>
      <c r="S262" s="128">
        <f t="shared" si="117"/>
        <v>15131855.92</v>
      </c>
      <c r="T262" s="128">
        <f t="shared" si="111"/>
        <v>5355.4233981709558</v>
      </c>
      <c r="U262" s="128">
        <v>5456.18</v>
      </c>
      <c r="V262" s="129"/>
    </row>
    <row r="263" spans="1:22" ht="35.25" x14ac:dyDescent="0.5">
      <c r="A263">
        <v>1</v>
      </c>
      <c r="B263" s="131">
        <f>SUBTOTAL(9,$A$186:A263)</f>
        <v>73</v>
      </c>
      <c r="C263" s="10" t="s">
        <v>326</v>
      </c>
      <c r="D263" s="27"/>
      <c r="E263" s="123">
        <v>1972</v>
      </c>
      <c r="F263" s="123" t="s">
        <v>421</v>
      </c>
      <c r="G263" s="123">
        <v>5</v>
      </c>
      <c r="H263" s="123" t="s">
        <v>324</v>
      </c>
      <c r="I263" s="124">
        <v>4372.0600000000004</v>
      </c>
      <c r="J263" s="124">
        <v>3951.06</v>
      </c>
      <c r="K263" s="125">
        <v>208</v>
      </c>
      <c r="L263" s="123" t="s">
        <v>418</v>
      </c>
      <c r="M263" s="123" t="s">
        <v>424</v>
      </c>
      <c r="N263" s="126" t="s">
        <v>494</v>
      </c>
      <c r="O263" s="128">
        <v>18753357.5</v>
      </c>
      <c r="P263" s="128">
        <v>0</v>
      </c>
      <c r="Q263" s="128">
        <v>0</v>
      </c>
      <c r="R263" s="128">
        <v>0</v>
      </c>
      <c r="S263" s="128">
        <f t="shared" si="117"/>
        <v>18753357.5</v>
      </c>
      <c r="T263" s="128">
        <f t="shared" si="111"/>
        <v>4289.3641670059415</v>
      </c>
      <c r="U263" s="128">
        <v>4289.3599999999997</v>
      </c>
      <c r="V263" s="129"/>
    </row>
    <row r="264" spans="1:22" ht="35.25" x14ac:dyDescent="0.5">
      <c r="A264">
        <v>1</v>
      </c>
      <c r="B264" s="131">
        <f>SUBTOTAL(9,$A$186:A264)</f>
        <v>74</v>
      </c>
      <c r="C264" s="10" t="s">
        <v>346</v>
      </c>
      <c r="D264" s="27"/>
      <c r="E264" s="123">
        <v>1966</v>
      </c>
      <c r="F264" s="123" t="s">
        <v>420</v>
      </c>
      <c r="G264" s="123">
        <v>5</v>
      </c>
      <c r="H264" s="123" t="s">
        <v>322</v>
      </c>
      <c r="I264" s="124">
        <v>2889</v>
      </c>
      <c r="J264" s="124">
        <v>2630.44</v>
      </c>
      <c r="K264" s="125">
        <v>182</v>
      </c>
      <c r="L264" s="123" t="s">
        <v>418</v>
      </c>
      <c r="M264" s="123" t="s">
        <v>424</v>
      </c>
      <c r="N264" s="126" t="s">
        <v>495</v>
      </c>
      <c r="O264" s="128">
        <v>11412364.49</v>
      </c>
      <c r="P264" s="128">
        <v>0</v>
      </c>
      <c r="Q264" s="128">
        <v>0</v>
      </c>
      <c r="R264" s="128">
        <v>0</v>
      </c>
      <c r="S264" s="128">
        <f t="shared" si="117"/>
        <v>11412364.49</v>
      </c>
      <c r="T264" s="128">
        <f t="shared" si="111"/>
        <v>3950.2819280027693</v>
      </c>
      <c r="U264" s="128">
        <v>4024.6</v>
      </c>
      <c r="V264" s="129"/>
    </row>
    <row r="265" spans="1:22" ht="35.25" x14ac:dyDescent="0.5">
      <c r="A265">
        <v>1</v>
      </c>
      <c r="B265" s="131">
        <f>SUBTOTAL(9,$A$186:A265)</f>
        <v>75</v>
      </c>
      <c r="C265" s="10" t="s">
        <v>340</v>
      </c>
      <c r="D265" s="27"/>
      <c r="E265" s="123">
        <v>1970</v>
      </c>
      <c r="F265" s="123" t="s">
        <v>420</v>
      </c>
      <c r="G265" s="123">
        <v>5</v>
      </c>
      <c r="H265" s="123" t="s">
        <v>322</v>
      </c>
      <c r="I265" s="124">
        <v>3931.2</v>
      </c>
      <c r="J265" s="124">
        <v>2794.99</v>
      </c>
      <c r="K265" s="125">
        <v>208</v>
      </c>
      <c r="L265" s="123" t="s">
        <v>418</v>
      </c>
      <c r="M265" s="123" t="s">
        <v>424</v>
      </c>
      <c r="N265" s="126" t="s">
        <v>492</v>
      </c>
      <c r="O265" s="128">
        <v>12933350</v>
      </c>
      <c r="P265" s="128">
        <v>0</v>
      </c>
      <c r="Q265" s="128">
        <v>0</v>
      </c>
      <c r="R265" s="128">
        <v>0</v>
      </c>
      <c r="S265" s="128">
        <f t="shared" si="117"/>
        <v>12933350</v>
      </c>
      <c r="T265" s="128">
        <f t="shared" si="111"/>
        <v>3289.9241961741964</v>
      </c>
      <c r="U265" s="128">
        <v>3289.92</v>
      </c>
      <c r="V265" s="129"/>
    </row>
    <row r="266" spans="1:22" ht="35.25" x14ac:dyDescent="0.5">
      <c r="A266">
        <v>1</v>
      </c>
      <c r="B266" s="131">
        <f>SUBTOTAL(9,$A$186:A266)</f>
        <v>76</v>
      </c>
      <c r="C266" s="10" t="s">
        <v>338</v>
      </c>
      <c r="D266" s="27"/>
      <c r="E266" s="123">
        <v>1984</v>
      </c>
      <c r="F266" s="123" t="s">
        <v>420</v>
      </c>
      <c r="G266" s="123">
        <v>2</v>
      </c>
      <c r="H266" s="123" t="s">
        <v>322</v>
      </c>
      <c r="I266" s="124">
        <v>1145.3</v>
      </c>
      <c r="J266" s="124">
        <v>645.70000000000005</v>
      </c>
      <c r="K266" s="125">
        <v>62</v>
      </c>
      <c r="L266" s="123" t="s">
        <v>418</v>
      </c>
      <c r="M266" s="123" t="s">
        <v>425</v>
      </c>
      <c r="N266" s="126" t="s">
        <v>426</v>
      </c>
      <c r="O266" s="128">
        <v>16304955.59</v>
      </c>
      <c r="P266" s="128">
        <v>0</v>
      </c>
      <c r="Q266" s="128">
        <v>0</v>
      </c>
      <c r="R266" s="128">
        <v>0</v>
      </c>
      <c r="S266" s="128">
        <f t="shared" si="117"/>
        <v>16304955.59</v>
      </c>
      <c r="T266" s="128">
        <f t="shared" si="111"/>
        <v>14236.405823801624</v>
      </c>
      <c r="U266" s="128">
        <v>14504.26</v>
      </c>
      <c r="V266" s="129"/>
    </row>
    <row r="267" spans="1:22" ht="35.25" x14ac:dyDescent="0.5">
      <c r="A267">
        <v>1</v>
      </c>
      <c r="B267" s="131">
        <f>SUBTOTAL(9,$A$186:A267)</f>
        <v>77</v>
      </c>
      <c r="C267" s="10" t="s">
        <v>336</v>
      </c>
      <c r="D267" s="27"/>
      <c r="E267" s="123">
        <v>1987</v>
      </c>
      <c r="F267" s="123" t="s">
        <v>421</v>
      </c>
      <c r="G267" s="123">
        <v>5</v>
      </c>
      <c r="H267" s="123" t="s">
        <v>322</v>
      </c>
      <c r="I267" s="124">
        <v>4328.3</v>
      </c>
      <c r="J267" s="124">
        <v>3152.8</v>
      </c>
      <c r="K267" s="125">
        <v>151</v>
      </c>
      <c r="L267" s="123" t="s">
        <v>418</v>
      </c>
      <c r="M267" s="123" t="s">
        <v>424</v>
      </c>
      <c r="N267" s="126" t="s">
        <v>493</v>
      </c>
      <c r="O267" s="128">
        <v>11353153.299999999</v>
      </c>
      <c r="P267" s="128">
        <v>0</v>
      </c>
      <c r="Q267" s="128">
        <v>0</v>
      </c>
      <c r="R267" s="128">
        <v>0</v>
      </c>
      <c r="S267" s="128">
        <f t="shared" si="117"/>
        <v>11353153.299999999</v>
      </c>
      <c r="T267" s="128">
        <f t="shared" si="111"/>
        <v>2623.0051752420113</v>
      </c>
      <c r="U267" s="128">
        <v>2623.01</v>
      </c>
      <c r="V267" s="129"/>
    </row>
    <row r="268" spans="1:22" ht="35.25" x14ac:dyDescent="0.5">
      <c r="A268">
        <v>1</v>
      </c>
      <c r="B268" s="131">
        <f>SUBTOTAL(9,$A$186:A268)</f>
        <v>78</v>
      </c>
      <c r="C268" s="10" t="s">
        <v>333</v>
      </c>
      <c r="D268" s="27"/>
      <c r="E268" s="123">
        <v>1985</v>
      </c>
      <c r="F268" s="123" t="s">
        <v>421</v>
      </c>
      <c r="G268" s="123">
        <v>5</v>
      </c>
      <c r="H268" s="123" t="s">
        <v>322</v>
      </c>
      <c r="I268" s="124">
        <v>4018.1</v>
      </c>
      <c r="J268" s="124">
        <v>2814.1</v>
      </c>
      <c r="K268" s="125">
        <v>111</v>
      </c>
      <c r="L268" s="123" t="s">
        <v>418</v>
      </c>
      <c r="M268" s="123" t="s">
        <v>424</v>
      </c>
      <c r="N268" s="126" t="s">
        <v>492</v>
      </c>
      <c r="O268" s="128">
        <v>11252014.5</v>
      </c>
      <c r="P268" s="128">
        <v>0</v>
      </c>
      <c r="Q268" s="128">
        <v>0</v>
      </c>
      <c r="R268" s="128">
        <v>0</v>
      </c>
      <c r="S268" s="128">
        <f t="shared" si="117"/>
        <v>11252014.5</v>
      </c>
      <c r="T268" s="128">
        <f t="shared" si="111"/>
        <v>2800.3321221472838</v>
      </c>
      <c r="U268" s="128">
        <v>2800.33</v>
      </c>
      <c r="V268" s="129"/>
    </row>
    <row r="269" spans="1:22" ht="35.25" x14ac:dyDescent="0.5">
      <c r="A269">
        <v>1</v>
      </c>
      <c r="B269" s="131">
        <f>SUBTOTAL(9,$A$186:A269)</f>
        <v>79</v>
      </c>
      <c r="C269" s="10" t="s">
        <v>345</v>
      </c>
      <c r="D269" s="27"/>
      <c r="E269" s="123">
        <v>1969</v>
      </c>
      <c r="F269" s="123" t="s">
        <v>420</v>
      </c>
      <c r="G269" s="123">
        <v>5</v>
      </c>
      <c r="H269" s="123" t="s">
        <v>322</v>
      </c>
      <c r="I269" s="124">
        <v>3659.03</v>
      </c>
      <c r="J269" s="124">
        <v>3395.28</v>
      </c>
      <c r="K269" s="125">
        <v>91</v>
      </c>
      <c r="L269" s="123" t="s">
        <v>418</v>
      </c>
      <c r="M269" s="123" t="s">
        <v>424</v>
      </c>
      <c r="N269" s="126" t="s">
        <v>494</v>
      </c>
      <c r="O269" s="128">
        <v>11510681.5</v>
      </c>
      <c r="P269" s="128">
        <v>0</v>
      </c>
      <c r="Q269" s="128">
        <v>0</v>
      </c>
      <c r="R269" s="128">
        <v>0</v>
      </c>
      <c r="S269" s="128">
        <f t="shared" si="117"/>
        <v>11510681.5</v>
      </c>
      <c r="T269" s="128">
        <f t="shared" si="111"/>
        <v>3145.8286759059092</v>
      </c>
      <c r="U269" s="128">
        <v>3145.83</v>
      </c>
      <c r="V269" s="129"/>
    </row>
    <row r="270" spans="1:22" ht="35.25" x14ac:dyDescent="0.5">
      <c r="A270">
        <v>1</v>
      </c>
      <c r="B270" s="131">
        <f>SUBTOTAL(9,$A$186:A270)</f>
        <v>80</v>
      </c>
      <c r="C270" s="10" t="s">
        <v>329</v>
      </c>
      <c r="D270" s="27"/>
      <c r="E270" s="123">
        <v>2001</v>
      </c>
      <c r="F270" s="123" t="s">
        <v>421</v>
      </c>
      <c r="G270" s="123">
        <v>9</v>
      </c>
      <c r="H270" s="123" t="s">
        <v>320</v>
      </c>
      <c r="I270" s="124">
        <v>4952.99</v>
      </c>
      <c r="J270" s="124">
        <v>3715.7</v>
      </c>
      <c r="K270" s="125">
        <v>187</v>
      </c>
      <c r="L270" s="123" t="s">
        <v>418</v>
      </c>
      <c r="M270" s="123" t="s">
        <v>424</v>
      </c>
      <c r="N270" s="126" t="s">
        <v>492</v>
      </c>
      <c r="O270" s="128">
        <v>8326563</v>
      </c>
      <c r="P270" s="128">
        <v>0</v>
      </c>
      <c r="Q270" s="128">
        <v>0</v>
      </c>
      <c r="R270" s="128">
        <v>0</v>
      </c>
      <c r="S270" s="128">
        <f t="shared" si="117"/>
        <v>8326563</v>
      </c>
      <c r="T270" s="128">
        <f t="shared" si="111"/>
        <v>1681.1184759105106</v>
      </c>
      <c r="U270" s="128">
        <v>1681.12</v>
      </c>
      <c r="V270" s="129"/>
    </row>
    <row r="271" spans="1:22" ht="35.25" x14ac:dyDescent="0.5">
      <c r="A271">
        <v>1</v>
      </c>
      <c r="B271" s="131">
        <f>SUBTOTAL(9,$A$186:A271)</f>
        <v>81</v>
      </c>
      <c r="C271" s="10" t="s">
        <v>330</v>
      </c>
      <c r="D271" s="27"/>
      <c r="E271" s="123">
        <v>1999</v>
      </c>
      <c r="F271" s="123" t="s">
        <v>420</v>
      </c>
      <c r="G271" s="123">
        <v>9</v>
      </c>
      <c r="H271" s="123" t="s">
        <v>327</v>
      </c>
      <c r="I271" s="124">
        <v>6506.1</v>
      </c>
      <c r="J271" s="124">
        <v>6385.6</v>
      </c>
      <c r="K271" s="125">
        <v>304</v>
      </c>
      <c r="L271" s="123" t="s">
        <v>418</v>
      </c>
      <c r="M271" s="123" t="s">
        <v>424</v>
      </c>
      <c r="N271" s="126" t="s">
        <v>495</v>
      </c>
      <c r="O271" s="128">
        <v>8326563</v>
      </c>
      <c r="P271" s="128">
        <v>0</v>
      </c>
      <c r="Q271" s="128">
        <v>0</v>
      </c>
      <c r="R271" s="128">
        <v>0</v>
      </c>
      <c r="S271" s="128">
        <f t="shared" si="117"/>
        <v>8326563</v>
      </c>
      <c r="T271" s="128">
        <f t="shared" si="111"/>
        <v>1279.808641121409</v>
      </c>
      <c r="U271" s="128">
        <v>1279.81</v>
      </c>
      <c r="V271" s="129"/>
    </row>
    <row r="272" spans="1:22" ht="35.25" x14ac:dyDescent="0.5">
      <c r="A272">
        <v>1</v>
      </c>
      <c r="B272" s="131">
        <f>SUBTOTAL(9,$A$186:A272)</f>
        <v>82</v>
      </c>
      <c r="C272" s="10" t="s">
        <v>352</v>
      </c>
      <c r="D272" s="27"/>
      <c r="E272" s="123">
        <v>1989</v>
      </c>
      <c r="F272" s="123" t="s">
        <v>421</v>
      </c>
      <c r="G272" s="123">
        <v>2</v>
      </c>
      <c r="H272" s="123" t="s">
        <v>320</v>
      </c>
      <c r="I272" s="124">
        <v>1426</v>
      </c>
      <c r="J272" s="124">
        <v>567.20000000000005</v>
      </c>
      <c r="K272" s="125">
        <v>32</v>
      </c>
      <c r="L272" s="123" t="s">
        <v>418</v>
      </c>
      <c r="M272" s="123" t="s">
        <v>424</v>
      </c>
      <c r="N272" s="126" t="s">
        <v>501</v>
      </c>
      <c r="O272" s="128">
        <v>5009253.6399999997</v>
      </c>
      <c r="P272" s="128">
        <v>0</v>
      </c>
      <c r="Q272" s="128">
        <v>0</v>
      </c>
      <c r="R272" s="128">
        <v>0</v>
      </c>
      <c r="S272" s="128">
        <f>O272-P272-Q272-R272</f>
        <v>5009253.6399999997</v>
      </c>
      <c r="T272" s="128">
        <f t="shared" si="111"/>
        <v>3512.8005890603085</v>
      </c>
      <c r="U272" s="128">
        <v>3578.89</v>
      </c>
      <c r="V272" s="129"/>
    </row>
    <row r="273" spans="1:22" ht="35.25" x14ac:dyDescent="0.5">
      <c r="A273">
        <v>1</v>
      </c>
      <c r="B273" s="131">
        <f>SUBTOTAL(9,$A$186:A273)</f>
        <v>83</v>
      </c>
      <c r="C273" s="10" t="s">
        <v>351</v>
      </c>
      <c r="D273" s="27"/>
      <c r="E273" s="123">
        <v>1964</v>
      </c>
      <c r="F273" s="123" t="s">
        <v>420</v>
      </c>
      <c r="G273" s="123">
        <v>2</v>
      </c>
      <c r="H273" s="123" t="s">
        <v>320</v>
      </c>
      <c r="I273" s="124">
        <v>672.5</v>
      </c>
      <c r="J273" s="124">
        <v>353</v>
      </c>
      <c r="K273" s="125">
        <v>18</v>
      </c>
      <c r="L273" s="123" t="s">
        <v>418</v>
      </c>
      <c r="M273" s="123" t="s">
        <v>424</v>
      </c>
      <c r="N273" s="126" t="s">
        <v>501</v>
      </c>
      <c r="O273" s="128">
        <v>4651014.57</v>
      </c>
      <c r="P273" s="128">
        <v>0</v>
      </c>
      <c r="Q273" s="128">
        <v>0</v>
      </c>
      <c r="R273" s="128">
        <v>0</v>
      </c>
      <c r="S273" s="128">
        <f>O273-P273-Q273-R273</f>
        <v>4651014.57</v>
      </c>
      <c r="T273" s="128">
        <f t="shared" si="111"/>
        <v>6916.0067955390341</v>
      </c>
      <c r="U273" s="128">
        <v>7046.13</v>
      </c>
      <c r="V273" s="129"/>
    </row>
    <row r="274" spans="1:22" ht="35.25" x14ac:dyDescent="0.5">
      <c r="A274">
        <v>1</v>
      </c>
      <c r="B274" s="131">
        <f>SUBTOTAL(9,$A$186:A274)</f>
        <v>84</v>
      </c>
      <c r="C274" s="10" t="s">
        <v>361</v>
      </c>
      <c r="D274" s="27"/>
      <c r="E274" s="123">
        <v>2000</v>
      </c>
      <c r="F274" s="123" t="s">
        <v>420</v>
      </c>
      <c r="G274" s="123">
        <v>5</v>
      </c>
      <c r="H274" s="123" t="s">
        <v>324</v>
      </c>
      <c r="I274" s="124">
        <v>5757.29</v>
      </c>
      <c r="J274" s="124">
        <v>4336.29</v>
      </c>
      <c r="K274" s="125">
        <v>177</v>
      </c>
      <c r="L274" s="123" t="s">
        <v>418</v>
      </c>
      <c r="M274" s="123" t="s">
        <v>424</v>
      </c>
      <c r="N274" s="126" t="s">
        <v>498</v>
      </c>
      <c r="O274" s="128">
        <v>22853164.68</v>
      </c>
      <c r="P274" s="128">
        <v>0</v>
      </c>
      <c r="Q274" s="128">
        <v>0</v>
      </c>
      <c r="R274" s="128">
        <v>0</v>
      </c>
      <c r="S274" s="128">
        <f>O274-P274-Q274-R274</f>
        <v>22853164.68</v>
      </c>
      <c r="T274" s="128">
        <f t="shared" si="111"/>
        <v>3969.4308745955127</v>
      </c>
      <c r="U274" s="128">
        <v>4044.11</v>
      </c>
      <c r="V274" s="129"/>
    </row>
    <row r="275" spans="1:22" ht="35.25" x14ac:dyDescent="0.5">
      <c r="A275">
        <v>1</v>
      </c>
      <c r="B275" s="131">
        <f>SUBTOTAL(9,$A$186:A275)</f>
        <v>85</v>
      </c>
      <c r="C275" s="10" t="s">
        <v>362</v>
      </c>
      <c r="D275" s="27"/>
      <c r="E275" s="123">
        <v>1990</v>
      </c>
      <c r="F275" s="123" t="s">
        <v>420</v>
      </c>
      <c r="G275" s="123">
        <v>5</v>
      </c>
      <c r="H275" s="123" t="s">
        <v>324</v>
      </c>
      <c r="I275" s="124">
        <v>4671.8999999999996</v>
      </c>
      <c r="J275" s="124">
        <v>4065.69</v>
      </c>
      <c r="K275" s="125">
        <v>222</v>
      </c>
      <c r="L275" s="123" t="s">
        <v>418</v>
      </c>
      <c r="M275" s="123" t="s">
        <v>424</v>
      </c>
      <c r="N275" s="126" t="s">
        <v>497</v>
      </c>
      <c r="O275" s="128">
        <v>8902356.7999999989</v>
      </c>
      <c r="P275" s="128">
        <v>0</v>
      </c>
      <c r="Q275" s="128">
        <v>0</v>
      </c>
      <c r="R275" s="128">
        <v>0</v>
      </c>
      <c r="S275" s="128">
        <f>O275-P275-Q275-R275</f>
        <v>8902356.7999999989</v>
      </c>
      <c r="T275" s="128">
        <f t="shared" si="111"/>
        <v>1905.5109912455316</v>
      </c>
      <c r="U275" s="128">
        <v>2189.63</v>
      </c>
      <c r="V275" s="129"/>
    </row>
    <row r="276" spans="1:22" ht="35.25" x14ac:dyDescent="0.5">
      <c r="B276" s="145" t="s">
        <v>503</v>
      </c>
      <c r="C276" s="145"/>
      <c r="D276" s="123" t="s">
        <v>423</v>
      </c>
      <c r="E276" s="123" t="s">
        <v>423</v>
      </c>
      <c r="F276" s="123" t="s">
        <v>423</v>
      </c>
      <c r="G276" s="123" t="s">
        <v>423</v>
      </c>
      <c r="H276" s="123" t="s">
        <v>423</v>
      </c>
      <c r="I276" s="124">
        <f>I277+I278+I279</f>
        <v>6611.2</v>
      </c>
      <c r="J276" s="124">
        <f t="shared" ref="J276:K276" si="118">J277+J278+J279</f>
        <v>4164</v>
      </c>
      <c r="K276" s="125">
        <f t="shared" si="118"/>
        <v>436</v>
      </c>
      <c r="L276" s="123" t="s">
        <v>423</v>
      </c>
      <c r="M276" s="123" t="s">
        <v>423</v>
      </c>
      <c r="N276" s="126" t="s">
        <v>423</v>
      </c>
      <c r="O276" s="128">
        <v>33450033.850000001</v>
      </c>
      <c r="P276" s="128">
        <f t="shared" ref="P276:S276" si="119">P277+P278+P279</f>
        <v>0</v>
      </c>
      <c r="Q276" s="128">
        <f t="shared" si="119"/>
        <v>0</v>
      </c>
      <c r="R276" s="128">
        <f t="shared" si="119"/>
        <v>0</v>
      </c>
      <c r="S276" s="128">
        <f t="shared" si="119"/>
        <v>33450033.850000001</v>
      </c>
      <c r="T276" s="128">
        <f t="shared" si="111"/>
        <v>5059.6009574661184</v>
      </c>
      <c r="U276" s="128">
        <f>MAX(U277:U279)</f>
        <v>6726.65</v>
      </c>
      <c r="V276" s="129"/>
    </row>
    <row r="277" spans="1:22" ht="35.25" x14ac:dyDescent="0.5">
      <c r="A277">
        <v>1</v>
      </c>
      <c r="B277" s="131">
        <f>SUBTOTAL(9,$A$186:A277)</f>
        <v>86</v>
      </c>
      <c r="C277" s="10" t="s">
        <v>380</v>
      </c>
      <c r="D277" s="27"/>
      <c r="E277" s="123">
        <v>1981</v>
      </c>
      <c r="F277" s="123" t="s">
        <v>420</v>
      </c>
      <c r="G277" s="123">
        <v>2</v>
      </c>
      <c r="H277" s="123" t="s">
        <v>320</v>
      </c>
      <c r="I277" s="124">
        <v>1067.0999999999999</v>
      </c>
      <c r="J277" s="124">
        <v>570.79999999999995</v>
      </c>
      <c r="K277" s="125">
        <v>12</v>
      </c>
      <c r="L277" s="123" t="s">
        <v>418</v>
      </c>
      <c r="M277" s="123" t="s">
        <v>425</v>
      </c>
      <c r="N277" s="126" t="s">
        <v>426</v>
      </c>
      <c r="O277" s="128">
        <v>7045453.0499999998</v>
      </c>
      <c r="P277" s="128">
        <v>0</v>
      </c>
      <c r="Q277" s="128">
        <v>0</v>
      </c>
      <c r="R277" s="128">
        <v>0</v>
      </c>
      <c r="S277" s="128">
        <f>O277-P277-Q277-R277</f>
        <v>7045453.0499999998</v>
      </c>
      <c r="T277" s="128">
        <f t="shared" si="111"/>
        <v>6602.4299971886421</v>
      </c>
      <c r="U277" s="128">
        <v>6726.65</v>
      </c>
      <c r="V277" s="129"/>
    </row>
    <row r="278" spans="1:22" ht="35.25" x14ac:dyDescent="0.5">
      <c r="A278">
        <v>1</v>
      </c>
      <c r="B278" s="131">
        <f>SUBTOTAL(9,$A$186:A278)</f>
        <v>87</v>
      </c>
      <c r="C278" s="10" t="s">
        <v>369</v>
      </c>
      <c r="D278" s="27"/>
      <c r="E278" s="123">
        <v>1971</v>
      </c>
      <c r="F278" s="123" t="s">
        <v>420</v>
      </c>
      <c r="G278" s="123">
        <v>5</v>
      </c>
      <c r="H278" s="123" t="s">
        <v>318</v>
      </c>
      <c r="I278" s="124">
        <v>3969.6</v>
      </c>
      <c r="J278" s="124">
        <v>2732.6</v>
      </c>
      <c r="K278" s="125">
        <v>406</v>
      </c>
      <c r="L278" s="123" t="s">
        <v>418</v>
      </c>
      <c r="M278" s="123" t="s">
        <v>425</v>
      </c>
      <c r="N278" s="126" t="s">
        <v>426</v>
      </c>
      <c r="O278" s="128">
        <v>16502863</v>
      </c>
      <c r="P278" s="128">
        <v>0</v>
      </c>
      <c r="Q278" s="128">
        <v>0</v>
      </c>
      <c r="R278" s="128">
        <v>0</v>
      </c>
      <c r="S278" s="128">
        <f>O278-P278-Q278-R278</f>
        <v>16502863</v>
      </c>
      <c r="T278" s="128">
        <f t="shared" si="111"/>
        <v>4157.3113160016128</v>
      </c>
      <c r="U278" s="128">
        <v>4235.53</v>
      </c>
      <c r="V278" s="129"/>
    </row>
    <row r="279" spans="1:22" ht="35.25" x14ac:dyDescent="0.5">
      <c r="A279">
        <v>1</v>
      </c>
      <c r="B279" s="131">
        <f>SUBTOTAL(9,$A$186:A279)</f>
        <v>88</v>
      </c>
      <c r="C279" s="10" t="s">
        <v>375</v>
      </c>
      <c r="D279" s="27"/>
      <c r="E279" s="123">
        <v>1981</v>
      </c>
      <c r="F279" s="123" t="s">
        <v>420</v>
      </c>
      <c r="G279" s="123">
        <v>2</v>
      </c>
      <c r="H279" s="123" t="s">
        <v>327</v>
      </c>
      <c r="I279" s="124">
        <v>1574.5</v>
      </c>
      <c r="J279" s="124">
        <v>860.6</v>
      </c>
      <c r="K279" s="125">
        <v>18</v>
      </c>
      <c r="L279" s="123" t="s">
        <v>418</v>
      </c>
      <c r="M279" s="123" t="s">
        <v>424</v>
      </c>
      <c r="N279" s="126" t="s">
        <v>512</v>
      </c>
      <c r="O279" s="128">
        <v>9901717.8000000007</v>
      </c>
      <c r="P279" s="128">
        <v>0</v>
      </c>
      <c r="Q279" s="128">
        <v>0</v>
      </c>
      <c r="R279" s="128">
        <v>0</v>
      </c>
      <c r="S279" s="128">
        <f>O279-P279-Q279-R279</f>
        <v>9901717.8000000007</v>
      </c>
      <c r="T279" s="128">
        <f t="shared" si="111"/>
        <v>6288.8013972689751</v>
      </c>
      <c r="U279" s="128">
        <v>6407.12</v>
      </c>
      <c r="V279" s="129"/>
    </row>
    <row r="280" spans="1:22" ht="35.25" x14ac:dyDescent="0.5">
      <c r="B280" s="145" t="s">
        <v>507</v>
      </c>
      <c r="C280" s="145"/>
      <c r="D280" s="123" t="s">
        <v>423</v>
      </c>
      <c r="E280" s="123" t="s">
        <v>423</v>
      </c>
      <c r="F280" s="123" t="s">
        <v>423</v>
      </c>
      <c r="G280" s="123" t="s">
        <v>423</v>
      </c>
      <c r="H280" s="123" t="s">
        <v>423</v>
      </c>
      <c r="I280" s="124">
        <f>I281</f>
        <v>706.3</v>
      </c>
      <c r="J280" s="124">
        <f t="shared" ref="J280:K280" si="120">J281</f>
        <v>461.2</v>
      </c>
      <c r="K280" s="125">
        <f t="shared" si="120"/>
        <v>42</v>
      </c>
      <c r="L280" s="123" t="s">
        <v>423</v>
      </c>
      <c r="M280" s="123" t="s">
        <v>423</v>
      </c>
      <c r="N280" s="126" t="s">
        <v>423</v>
      </c>
      <c r="O280" s="128">
        <v>7540538.9000000004</v>
      </c>
      <c r="P280" s="128">
        <f t="shared" ref="P280:S280" si="121">P281</f>
        <v>0</v>
      </c>
      <c r="Q280" s="128">
        <f t="shared" si="121"/>
        <v>0</v>
      </c>
      <c r="R280" s="128">
        <f t="shared" si="121"/>
        <v>0</v>
      </c>
      <c r="S280" s="128">
        <f t="shared" si="121"/>
        <v>7540538.9000000004</v>
      </c>
      <c r="T280" s="128">
        <f t="shared" si="111"/>
        <v>10676.113407900328</v>
      </c>
      <c r="U280" s="128">
        <f>U281</f>
        <v>10876.98</v>
      </c>
      <c r="V280" s="129"/>
    </row>
    <row r="281" spans="1:22" ht="35.25" x14ac:dyDescent="0.5">
      <c r="A281">
        <v>1</v>
      </c>
      <c r="B281" s="131">
        <f>SUBTOTAL(9,$A$186:A281)</f>
        <v>89</v>
      </c>
      <c r="C281" s="10" t="s">
        <v>372</v>
      </c>
      <c r="D281" s="27"/>
      <c r="E281" s="123">
        <v>1973</v>
      </c>
      <c r="F281" s="123" t="s">
        <v>420</v>
      </c>
      <c r="G281" s="123">
        <v>2</v>
      </c>
      <c r="H281" s="123" t="s">
        <v>320</v>
      </c>
      <c r="I281" s="124">
        <v>706.3</v>
      </c>
      <c r="J281" s="124">
        <v>461.2</v>
      </c>
      <c r="K281" s="125">
        <v>42</v>
      </c>
      <c r="L281" s="123" t="s">
        <v>418</v>
      </c>
      <c r="M281" s="123" t="s">
        <v>425</v>
      </c>
      <c r="N281" s="126" t="s">
        <v>426</v>
      </c>
      <c r="O281" s="128">
        <v>7540538.9000000004</v>
      </c>
      <c r="P281" s="128">
        <v>0</v>
      </c>
      <c r="Q281" s="128">
        <v>0</v>
      </c>
      <c r="R281" s="128">
        <v>0</v>
      </c>
      <c r="S281" s="128">
        <f>O281-P281-Q281-R281</f>
        <v>7540538.9000000004</v>
      </c>
      <c r="T281" s="128">
        <f t="shared" si="111"/>
        <v>10676.113407900328</v>
      </c>
      <c r="U281" s="128">
        <v>10876.98</v>
      </c>
      <c r="V281" s="129"/>
    </row>
    <row r="282" spans="1:22" ht="35.25" x14ac:dyDescent="0.5">
      <c r="B282" s="145" t="s">
        <v>508</v>
      </c>
      <c r="C282" s="145"/>
      <c r="D282" s="123" t="s">
        <v>423</v>
      </c>
      <c r="E282" s="123" t="s">
        <v>423</v>
      </c>
      <c r="F282" s="123" t="s">
        <v>423</v>
      </c>
      <c r="G282" s="123" t="s">
        <v>423</v>
      </c>
      <c r="H282" s="123" t="s">
        <v>423</v>
      </c>
      <c r="I282" s="124">
        <f>I283</f>
        <v>686</v>
      </c>
      <c r="J282" s="124">
        <f t="shared" ref="J282:K282" si="122">J283</f>
        <v>452.9</v>
      </c>
      <c r="K282" s="125">
        <f t="shared" si="122"/>
        <v>42</v>
      </c>
      <c r="L282" s="123" t="s">
        <v>423</v>
      </c>
      <c r="M282" s="123" t="s">
        <v>423</v>
      </c>
      <c r="N282" s="126" t="s">
        <v>423</v>
      </c>
      <c r="O282" s="128">
        <v>9114658.1800000016</v>
      </c>
      <c r="P282" s="128">
        <f t="shared" ref="P282:S282" si="123">P283</f>
        <v>0</v>
      </c>
      <c r="Q282" s="128">
        <f t="shared" si="123"/>
        <v>0</v>
      </c>
      <c r="R282" s="128">
        <f t="shared" si="123"/>
        <v>0</v>
      </c>
      <c r="S282" s="128">
        <f t="shared" si="123"/>
        <v>9114658.1800000016</v>
      </c>
      <c r="T282" s="128">
        <f t="shared" si="111"/>
        <v>13286.673731778428</v>
      </c>
      <c r="U282" s="128">
        <f>U283</f>
        <v>13536.65</v>
      </c>
      <c r="V282" s="129"/>
    </row>
    <row r="283" spans="1:22" ht="35.25" x14ac:dyDescent="0.5">
      <c r="A283">
        <v>1</v>
      </c>
      <c r="B283" s="131">
        <f>SUBTOTAL(9,$A$186:A283)</f>
        <v>90</v>
      </c>
      <c r="C283" s="10" t="s">
        <v>378</v>
      </c>
      <c r="D283" s="27"/>
      <c r="E283" s="123">
        <v>1971</v>
      </c>
      <c r="F283" s="123" t="s">
        <v>420</v>
      </c>
      <c r="G283" s="123">
        <v>2</v>
      </c>
      <c r="H283" s="123" t="s">
        <v>320</v>
      </c>
      <c r="I283" s="124">
        <v>686</v>
      </c>
      <c r="J283" s="124">
        <v>452.9</v>
      </c>
      <c r="K283" s="125">
        <v>42</v>
      </c>
      <c r="L283" s="123" t="s">
        <v>418</v>
      </c>
      <c r="M283" s="123" t="s">
        <v>425</v>
      </c>
      <c r="N283" s="126" t="s">
        <v>426</v>
      </c>
      <c r="O283" s="128">
        <v>9114658.1800000016</v>
      </c>
      <c r="P283" s="128">
        <v>0</v>
      </c>
      <c r="Q283" s="128">
        <v>0</v>
      </c>
      <c r="R283" s="128">
        <v>0</v>
      </c>
      <c r="S283" s="128">
        <f>O283-P283-Q283-R283</f>
        <v>9114658.1800000016</v>
      </c>
      <c r="T283" s="128">
        <f t="shared" si="111"/>
        <v>13286.673731778428</v>
      </c>
      <c r="U283" s="128">
        <v>13536.65</v>
      </c>
      <c r="V283" s="129"/>
    </row>
    <row r="284" spans="1:22" ht="35.25" x14ac:dyDescent="0.5">
      <c r="B284" s="145" t="s">
        <v>505</v>
      </c>
      <c r="C284" s="145"/>
      <c r="D284" s="123" t="s">
        <v>423</v>
      </c>
      <c r="E284" s="123" t="s">
        <v>423</v>
      </c>
      <c r="F284" s="123" t="s">
        <v>423</v>
      </c>
      <c r="G284" s="123" t="s">
        <v>423</v>
      </c>
      <c r="H284" s="123" t="s">
        <v>423</v>
      </c>
      <c r="I284" s="124">
        <f>I285</f>
        <v>956.2</v>
      </c>
      <c r="J284" s="124">
        <f t="shared" ref="J284:K284" si="124">J285</f>
        <v>835.3</v>
      </c>
      <c r="K284" s="125">
        <f t="shared" si="124"/>
        <v>47</v>
      </c>
      <c r="L284" s="123" t="s">
        <v>423</v>
      </c>
      <c r="M284" s="123" t="s">
        <v>423</v>
      </c>
      <c r="N284" s="126" t="s">
        <v>423</v>
      </c>
      <c r="O284" s="128">
        <v>13227679.42</v>
      </c>
      <c r="P284" s="128">
        <f t="shared" ref="P284:S284" si="125">P285</f>
        <v>0</v>
      </c>
      <c r="Q284" s="128">
        <f t="shared" si="125"/>
        <v>0</v>
      </c>
      <c r="R284" s="128">
        <f t="shared" si="125"/>
        <v>0</v>
      </c>
      <c r="S284" s="128">
        <f t="shared" si="125"/>
        <v>13227679.42</v>
      </c>
      <c r="T284" s="128">
        <f t="shared" si="111"/>
        <v>13833.590692323782</v>
      </c>
      <c r="U284" s="128">
        <f>U285</f>
        <v>14093.86</v>
      </c>
      <c r="V284" s="129"/>
    </row>
    <row r="285" spans="1:22" ht="35.25" x14ac:dyDescent="0.5">
      <c r="A285">
        <v>1</v>
      </c>
      <c r="B285" s="131">
        <f>SUBTOTAL(9,$A$186:A285)</f>
        <v>91</v>
      </c>
      <c r="C285" s="10" t="s">
        <v>370</v>
      </c>
      <c r="D285" s="27"/>
      <c r="E285" s="123">
        <v>1986</v>
      </c>
      <c r="F285" s="123" t="s">
        <v>420</v>
      </c>
      <c r="G285" s="123">
        <v>2</v>
      </c>
      <c r="H285" s="123" t="s">
        <v>327</v>
      </c>
      <c r="I285" s="124">
        <v>956.2</v>
      </c>
      <c r="J285" s="124">
        <v>835.3</v>
      </c>
      <c r="K285" s="125">
        <v>47</v>
      </c>
      <c r="L285" s="123" t="s">
        <v>418</v>
      </c>
      <c r="M285" s="123" t="s">
        <v>425</v>
      </c>
      <c r="N285" s="126" t="s">
        <v>426</v>
      </c>
      <c r="O285" s="128">
        <v>13227679.42</v>
      </c>
      <c r="P285" s="128">
        <v>0</v>
      </c>
      <c r="Q285" s="128">
        <v>0</v>
      </c>
      <c r="R285" s="128">
        <v>0</v>
      </c>
      <c r="S285" s="128">
        <f>O285-P285-Q285-R285</f>
        <v>13227679.42</v>
      </c>
      <c r="T285" s="128">
        <f t="shared" si="111"/>
        <v>13833.590692323782</v>
      </c>
      <c r="U285" s="128">
        <v>14093.86</v>
      </c>
      <c r="V285" s="129"/>
    </row>
    <row r="286" spans="1:22" ht="35.25" x14ac:dyDescent="0.5">
      <c r="B286" s="145" t="s">
        <v>504</v>
      </c>
      <c r="C286" s="145"/>
      <c r="D286" s="123" t="s">
        <v>423</v>
      </c>
      <c r="E286" s="123" t="s">
        <v>423</v>
      </c>
      <c r="F286" s="123" t="s">
        <v>423</v>
      </c>
      <c r="G286" s="123" t="s">
        <v>423</v>
      </c>
      <c r="H286" s="123" t="s">
        <v>423</v>
      </c>
      <c r="I286" s="124">
        <f>I287</f>
        <v>785.9</v>
      </c>
      <c r="J286" s="124">
        <f t="shared" ref="J286:K286" si="126">J287</f>
        <v>726.2</v>
      </c>
      <c r="K286" s="125">
        <f t="shared" si="126"/>
        <v>37</v>
      </c>
      <c r="L286" s="123" t="s">
        <v>423</v>
      </c>
      <c r="M286" s="123" t="s">
        <v>423</v>
      </c>
      <c r="N286" s="126" t="s">
        <v>423</v>
      </c>
      <c r="O286" s="128">
        <v>8307287.3399999999</v>
      </c>
      <c r="P286" s="128">
        <f t="shared" ref="P286:S286" si="127">P287</f>
        <v>0</v>
      </c>
      <c r="Q286" s="128">
        <f t="shared" si="127"/>
        <v>0</v>
      </c>
      <c r="R286" s="128">
        <f t="shared" si="127"/>
        <v>0</v>
      </c>
      <c r="S286" s="128">
        <f t="shared" si="127"/>
        <v>8307287.3399999999</v>
      </c>
      <c r="T286" s="128">
        <f t="shared" si="111"/>
        <v>10570.412698816643</v>
      </c>
      <c r="U286" s="128">
        <f>U287</f>
        <v>10769.29</v>
      </c>
      <c r="V286" s="129"/>
    </row>
    <row r="287" spans="1:22" ht="35.25" x14ac:dyDescent="0.5">
      <c r="A287">
        <v>1</v>
      </c>
      <c r="B287" s="131">
        <f>SUBTOTAL(9,$A$186:A287)</f>
        <v>92</v>
      </c>
      <c r="C287" s="10" t="s">
        <v>377</v>
      </c>
      <c r="D287" s="27"/>
      <c r="E287" s="123">
        <v>1971</v>
      </c>
      <c r="F287" s="123" t="s">
        <v>420</v>
      </c>
      <c r="G287" s="123">
        <v>2</v>
      </c>
      <c r="H287" s="123" t="s">
        <v>320</v>
      </c>
      <c r="I287" s="124">
        <v>785.9</v>
      </c>
      <c r="J287" s="124">
        <v>726.2</v>
      </c>
      <c r="K287" s="125">
        <v>37</v>
      </c>
      <c r="L287" s="123" t="s">
        <v>418</v>
      </c>
      <c r="M287" s="123" t="s">
        <v>425</v>
      </c>
      <c r="N287" s="126" t="s">
        <v>426</v>
      </c>
      <c r="O287" s="128">
        <v>8307287.3399999999</v>
      </c>
      <c r="P287" s="128">
        <v>0</v>
      </c>
      <c r="Q287" s="128">
        <v>0</v>
      </c>
      <c r="R287" s="128">
        <v>0</v>
      </c>
      <c r="S287" s="128">
        <f>O287-P287-Q287-R287</f>
        <v>8307287.3399999999</v>
      </c>
      <c r="T287" s="128">
        <f t="shared" si="111"/>
        <v>10570.412698816643</v>
      </c>
      <c r="U287" s="128">
        <v>10769.29</v>
      </c>
      <c r="V287" s="129"/>
    </row>
    <row r="288" spans="1:22" ht="35.25" x14ac:dyDescent="0.5">
      <c r="B288" s="122" t="s">
        <v>692</v>
      </c>
      <c r="C288" s="130"/>
      <c r="D288" s="123" t="s">
        <v>423</v>
      </c>
      <c r="E288" s="123" t="s">
        <v>423</v>
      </c>
      <c r="F288" s="123" t="s">
        <v>423</v>
      </c>
      <c r="G288" s="123" t="s">
        <v>423</v>
      </c>
      <c r="H288" s="123" t="s">
        <v>423</v>
      </c>
      <c r="I288" s="124">
        <f>SUM(I289:I290)</f>
        <v>12793.8</v>
      </c>
      <c r="J288" s="124">
        <f t="shared" ref="J288:K288" si="128">SUM(J289:J290)</f>
        <v>10512</v>
      </c>
      <c r="K288" s="125">
        <f t="shared" si="128"/>
        <v>432</v>
      </c>
      <c r="L288" s="123" t="s">
        <v>423</v>
      </c>
      <c r="M288" s="123" t="s">
        <v>423</v>
      </c>
      <c r="N288" s="126" t="s">
        <v>423</v>
      </c>
      <c r="O288" s="128">
        <v>41965438.079999998</v>
      </c>
      <c r="P288" s="128">
        <f t="shared" ref="P288:S288" si="129">SUM(P289:P290)</f>
        <v>0</v>
      </c>
      <c r="Q288" s="128">
        <f t="shared" si="129"/>
        <v>0</v>
      </c>
      <c r="R288" s="128">
        <f t="shared" si="129"/>
        <v>0</v>
      </c>
      <c r="S288" s="128">
        <f t="shared" si="129"/>
        <v>41965438.079999998</v>
      </c>
      <c r="T288" s="128">
        <f t="shared" si="111"/>
        <v>3280.1386671669088</v>
      </c>
      <c r="U288" s="128">
        <f>MAX(U289:U290)</f>
        <v>3362.97</v>
      </c>
      <c r="V288" s="129"/>
    </row>
    <row r="289" spans="1:22" ht="35.25" x14ac:dyDescent="0.5">
      <c r="A289">
        <v>1</v>
      </c>
      <c r="B289" s="131">
        <f>SUBTOTAL(9,$A$186:A289)</f>
        <v>93</v>
      </c>
      <c r="C289" s="10" t="s">
        <v>172</v>
      </c>
      <c r="D289" s="123"/>
      <c r="E289" s="123">
        <v>1983</v>
      </c>
      <c r="F289" s="123" t="s">
        <v>420</v>
      </c>
      <c r="G289" s="123">
        <v>5</v>
      </c>
      <c r="H289" s="123" t="s">
        <v>321</v>
      </c>
      <c r="I289" s="124">
        <v>5549.5</v>
      </c>
      <c r="J289" s="124">
        <v>5536.4</v>
      </c>
      <c r="K289" s="125">
        <v>190</v>
      </c>
      <c r="L289" s="123" t="s">
        <v>418</v>
      </c>
      <c r="M289" s="123" t="s">
        <v>424</v>
      </c>
      <c r="N289" s="126" t="s">
        <v>441</v>
      </c>
      <c r="O289" s="128">
        <v>18662824</v>
      </c>
      <c r="P289" s="128">
        <v>0</v>
      </c>
      <c r="Q289" s="128">
        <v>0</v>
      </c>
      <c r="R289" s="128">
        <v>0</v>
      </c>
      <c r="S289" s="128">
        <f>O289-P289-Q289-R289</f>
        <v>18662824</v>
      </c>
      <c r="T289" s="128">
        <f t="shared" ref="T289:T315" si="130">O289/I289</f>
        <v>3362.9739616181637</v>
      </c>
      <c r="U289" s="128">
        <v>3362.97</v>
      </c>
      <c r="V289" s="129"/>
    </row>
    <row r="290" spans="1:22" ht="35.25" x14ac:dyDescent="0.5">
      <c r="A290">
        <v>1</v>
      </c>
      <c r="B290" s="131">
        <f>SUBTOTAL(9,$A$186:A290)</f>
        <v>94</v>
      </c>
      <c r="C290" s="10" t="s">
        <v>173</v>
      </c>
      <c r="D290" s="123"/>
      <c r="E290" s="123">
        <v>1995</v>
      </c>
      <c r="F290" s="123" t="s">
        <v>420</v>
      </c>
      <c r="G290" s="123">
        <v>5</v>
      </c>
      <c r="H290" s="123" t="s">
        <v>321</v>
      </c>
      <c r="I290" s="124">
        <v>7244.3</v>
      </c>
      <c r="J290" s="124">
        <v>4975.6000000000004</v>
      </c>
      <c r="K290" s="125">
        <v>242</v>
      </c>
      <c r="L290" s="123" t="s">
        <v>418</v>
      </c>
      <c r="M290" s="123" t="s">
        <v>424</v>
      </c>
      <c r="N290" s="126" t="s">
        <v>443</v>
      </c>
      <c r="O290" s="128">
        <v>23302614.080000002</v>
      </c>
      <c r="P290" s="128">
        <v>0</v>
      </c>
      <c r="Q290" s="128">
        <v>0</v>
      </c>
      <c r="R290" s="128">
        <v>0</v>
      </c>
      <c r="S290" s="128">
        <f>O290-P290-Q290-R290</f>
        <v>23302614.080000002</v>
      </c>
      <c r="T290" s="128">
        <f t="shared" si="130"/>
        <v>3216.6826442858523</v>
      </c>
      <c r="U290" s="128">
        <v>3343.89</v>
      </c>
      <c r="V290" s="129"/>
    </row>
    <row r="291" spans="1:22" ht="35.25" x14ac:dyDescent="0.5">
      <c r="B291" s="122" t="s">
        <v>691</v>
      </c>
      <c r="C291" s="122"/>
      <c r="D291" s="123" t="s">
        <v>423</v>
      </c>
      <c r="E291" s="123" t="s">
        <v>423</v>
      </c>
      <c r="F291" s="123" t="s">
        <v>423</v>
      </c>
      <c r="G291" s="123" t="s">
        <v>423</v>
      </c>
      <c r="H291" s="123" t="s">
        <v>423</v>
      </c>
      <c r="I291" s="124">
        <f>I292+I293</f>
        <v>1312</v>
      </c>
      <c r="J291" s="124">
        <f t="shared" ref="J291:K291" si="131">J292+J293</f>
        <v>1024.5999999999999</v>
      </c>
      <c r="K291" s="125">
        <f t="shared" si="131"/>
        <v>49</v>
      </c>
      <c r="L291" s="123" t="s">
        <v>423</v>
      </c>
      <c r="M291" s="123" t="s">
        <v>423</v>
      </c>
      <c r="N291" s="126" t="s">
        <v>423</v>
      </c>
      <c r="O291" s="128">
        <f>O292+O293</f>
        <v>16945572.640000001</v>
      </c>
      <c r="P291" s="128">
        <f t="shared" ref="P291:S291" si="132">P292+P293</f>
        <v>0</v>
      </c>
      <c r="Q291" s="128">
        <f t="shared" si="132"/>
        <v>0</v>
      </c>
      <c r="R291" s="128">
        <f t="shared" si="132"/>
        <v>0</v>
      </c>
      <c r="S291" s="128">
        <f t="shared" si="132"/>
        <v>16945572.640000001</v>
      </c>
      <c r="T291" s="128">
        <f t="shared" si="130"/>
        <v>12915.83280487805</v>
      </c>
      <c r="U291" s="128">
        <f>MAX(U292:U293)</f>
        <v>14418.21</v>
      </c>
      <c r="V291" s="129"/>
    </row>
    <row r="292" spans="1:22" ht="35.25" x14ac:dyDescent="0.5">
      <c r="A292">
        <v>1</v>
      </c>
      <c r="B292" s="131">
        <f>SUBTOTAL(9,$A$186:A292)</f>
        <v>95</v>
      </c>
      <c r="C292" s="10" t="s">
        <v>178</v>
      </c>
      <c r="D292" s="123"/>
      <c r="E292" s="123">
        <v>1985</v>
      </c>
      <c r="F292" s="123" t="s">
        <v>420</v>
      </c>
      <c r="G292" s="123">
        <v>2</v>
      </c>
      <c r="H292" s="123" t="s">
        <v>320</v>
      </c>
      <c r="I292" s="124">
        <v>601</v>
      </c>
      <c r="J292" s="124">
        <v>555</v>
      </c>
      <c r="K292" s="125">
        <v>15</v>
      </c>
      <c r="L292" s="123" t="s">
        <v>418</v>
      </c>
      <c r="M292" s="123" t="s">
        <v>424</v>
      </c>
      <c r="N292" s="126" t="s">
        <v>444</v>
      </c>
      <c r="O292" s="128">
        <v>8505321.6999999993</v>
      </c>
      <c r="P292" s="128">
        <v>0</v>
      </c>
      <c r="Q292" s="128">
        <v>0</v>
      </c>
      <c r="R292" s="128">
        <v>0</v>
      </c>
      <c r="S292" s="128">
        <f>O292-P292-Q292-R292</f>
        <v>8505321.6999999993</v>
      </c>
      <c r="T292" s="128">
        <f t="shared" si="130"/>
        <v>14151.949584026621</v>
      </c>
      <c r="U292" s="128">
        <v>14418.21</v>
      </c>
      <c r="V292" s="129"/>
    </row>
    <row r="293" spans="1:22" ht="35.25" x14ac:dyDescent="0.5">
      <c r="A293">
        <v>1</v>
      </c>
      <c r="B293" s="131">
        <f>SUBTOTAL(9,$A$186:A293)</f>
        <v>96</v>
      </c>
      <c r="C293" s="10" t="s">
        <v>179</v>
      </c>
      <c r="D293" s="123"/>
      <c r="E293" s="123">
        <v>1977</v>
      </c>
      <c r="F293" s="123" t="s">
        <v>420</v>
      </c>
      <c r="G293" s="123">
        <v>2</v>
      </c>
      <c r="H293" s="123" t="s">
        <v>320</v>
      </c>
      <c r="I293" s="124">
        <v>711</v>
      </c>
      <c r="J293" s="124">
        <v>469.6</v>
      </c>
      <c r="K293" s="125">
        <v>34</v>
      </c>
      <c r="L293" s="123" t="s">
        <v>418</v>
      </c>
      <c r="M293" s="123" t="s">
        <v>425</v>
      </c>
      <c r="N293" s="126" t="s">
        <v>426</v>
      </c>
      <c r="O293" s="128">
        <v>8440250.9400000013</v>
      </c>
      <c r="P293" s="128">
        <v>0</v>
      </c>
      <c r="Q293" s="128">
        <v>0</v>
      </c>
      <c r="R293" s="128">
        <v>0</v>
      </c>
      <c r="S293" s="128">
        <f>O293-P293-Q293-R293</f>
        <v>8440250.9400000013</v>
      </c>
      <c r="T293" s="128">
        <f t="shared" si="130"/>
        <v>11870.957721518989</v>
      </c>
      <c r="U293" s="128">
        <v>11870.957721518989</v>
      </c>
      <c r="V293" s="129"/>
    </row>
    <row r="294" spans="1:22" ht="35.25" x14ac:dyDescent="0.5">
      <c r="B294" s="122" t="s">
        <v>688</v>
      </c>
      <c r="C294" s="122"/>
      <c r="D294" s="123" t="s">
        <v>423</v>
      </c>
      <c r="E294" s="123" t="s">
        <v>423</v>
      </c>
      <c r="F294" s="123" t="s">
        <v>423</v>
      </c>
      <c r="G294" s="123" t="s">
        <v>423</v>
      </c>
      <c r="H294" s="123" t="s">
        <v>423</v>
      </c>
      <c r="I294" s="124">
        <f>I295</f>
        <v>648.1</v>
      </c>
      <c r="J294" s="124">
        <f t="shared" ref="J294:K294" si="133">J295</f>
        <v>561.20000000000005</v>
      </c>
      <c r="K294" s="125">
        <f t="shared" si="133"/>
        <v>29</v>
      </c>
      <c r="L294" s="123" t="s">
        <v>423</v>
      </c>
      <c r="M294" s="123" t="s">
        <v>423</v>
      </c>
      <c r="N294" s="126" t="s">
        <v>423</v>
      </c>
      <c r="O294" s="128">
        <v>7270971.0200000005</v>
      </c>
      <c r="P294" s="128">
        <f t="shared" ref="P294:S294" si="134">P295</f>
        <v>0</v>
      </c>
      <c r="Q294" s="128">
        <f t="shared" si="134"/>
        <v>0</v>
      </c>
      <c r="R294" s="128">
        <f t="shared" si="134"/>
        <v>0</v>
      </c>
      <c r="S294" s="128">
        <f t="shared" si="134"/>
        <v>7270971.0200000005</v>
      </c>
      <c r="T294" s="128">
        <f t="shared" si="130"/>
        <v>11218.902977935504</v>
      </c>
      <c r="U294" s="128">
        <f>U295</f>
        <v>11429.98</v>
      </c>
      <c r="V294" s="129"/>
    </row>
    <row r="295" spans="1:22" ht="35.25" x14ac:dyDescent="0.5">
      <c r="A295">
        <v>1</v>
      </c>
      <c r="B295" s="131">
        <f>SUBTOTAL(9,$A$186:A295)</f>
        <v>97</v>
      </c>
      <c r="C295" s="10" t="s">
        <v>183</v>
      </c>
      <c r="D295" s="123"/>
      <c r="E295" s="123">
        <v>1987</v>
      </c>
      <c r="F295" s="123" t="s">
        <v>421</v>
      </c>
      <c r="G295" s="123">
        <v>2</v>
      </c>
      <c r="H295" s="123" t="s">
        <v>320</v>
      </c>
      <c r="I295" s="124">
        <v>648.1</v>
      </c>
      <c r="J295" s="124">
        <v>561.20000000000005</v>
      </c>
      <c r="K295" s="125">
        <v>29</v>
      </c>
      <c r="L295" s="123" t="s">
        <v>418</v>
      </c>
      <c r="M295" s="123" t="s">
        <v>424</v>
      </c>
      <c r="N295" s="126" t="s">
        <v>445</v>
      </c>
      <c r="O295" s="128">
        <v>7270971.0200000005</v>
      </c>
      <c r="P295" s="128">
        <v>0</v>
      </c>
      <c r="Q295" s="128">
        <v>0</v>
      </c>
      <c r="R295" s="128">
        <v>0</v>
      </c>
      <c r="S295" s="128">
        <f>O295-P295-Q295-R295</f>
        <v>7270971.0200000005</v>
      </c>
      <c r="T295" s="128">
        <f t="shared" si="130"/>
        <v>11218.902977935504</v>
      </c>
      <c r="U295" s="128">
        <v>11429.98</v>
      </c>
      <c r="V295" s="129"/>
    </row>
    <row r="296" spans="1:22" ht="35.25" x14ac:dyDescent="0.5">
      <c r="B296" s="122" t="s">
        <v>693</v>
      </c>
      <c r="C296" s="122"/>
      <c r="D296" s="123" t="s">
        <v>423</v>
      </c>
      <c r="E296" s="123" t="s">
        <v>423</v>
      </c>
      <c r="F296" s="123" t="s">
        <v>423</v>
      </c>
      <c r="G296" s="123" t="s">
        <v>423</v>
      </c>
      <c r="H296" s="123" t="s">
        <v>423</v>
      </c>
      <c r="I296" s="124">
        <f>SUM(I297:I301)</f>
        <v>14577.779999999999</v>
      </c>
      <c r="J296" s="124">
        <f t="shared" ref="J296:K296" si="135">SUM(J297:J301)</f>
        <v>12206.5</v>
      </c>
      <c r="K296" s="125">
        <f t="shared" si="135"/>
        <v>632</v>
      </c>
      <c r="L296" s="123" t="s">
        <v>423</v>
      </c>
      <c r="M296" s="123" t="s">
        <v>423</v>
      </c>
      <c r="N296" s="126" t="s">
        <v>423</v>
      </c>
      <c r="O296" s="128">
        <f>SUM(O297:O301)</f>
        <v>61795681.159999996</v>
      </c>
      <c r="P296" s="128">
        <f t="shared" ref="P296:S296" si="136">SUM(P297:P301)</f>
        <v>0</v>
      </c>
      <c r="Q296" s="128">
        <f t="shared" si="136"/>
        <v>0</v>
      </c>
      <c r="R296" s="128">
        <f t="shared" si="136"/>
        <v>0</v>
      </c>
      <c r="S296" s="128">
        <f t="shared" si="136"/>
        <v>61795681.159999996</v>
      </c>
      <c r="T296" s="128">
        <f t="shared" si="130"/>
        <v>4239.0323602084818</v>
      </c>
      <c r="U296" s="128">
        <f>MAX(U297:U301)</f>
        <v>13022.27</v>
      </c>
      <c r="V296" s="129"/>
    </row>
    <row r="297" spans="1:22" ht="35.25" x14ac:dyDescent="0.5">
      <c r="A297">
        <v>1</v>
      </c>
      <c r="B297" s="131">
        <f>SUBTOTAL(9,$A$186:A297)</f>
        <v>98</v>
      </c>
      <c r="C297" s="10" t="s">
        <v>187</v>
      </c>
      <c r="D297" s="123"/>
      <c r="E297" s="123">
        <v>1988</v>
      </c>
      <c r="F297" s="123" t="s">
        <v>420</v>
      </c>
      <c r="G297" s="123">
        <v>5</v>
      </c>
      <c r="H297" s="123" t="s">
        <v>322</v>
      </c>
      <c r="I297" s="124">
        <v>4049.9</v>
      </c>
      <c r="J297" s="124">
        <v>3010.3</v>
      </c>
      <c r="K297" s="125">
        <v>159</v>
      </c>
      <c r="L297" s="123" t="s">
        <v>418</v>
      </c>
      <c r="M297" s="123" t="s">
        <v>424</v>
      </c>
      <c r="N297" s="126" t="s">
        <v>447</v>
      </c>
      <c r="O297" s="128">
        <v>13542503.27</v>
      </c>
      <c r="P297" s="128">
        <v>0</v>
      </c>
      <c r="Q297" s="128">
        <v>0</v>
      </c>
      <c r="R297" s="128">
        <v>0</v>
      </c>
      <c r="S297" s="128">
        <f>O297-P297-Q297-R297</f>
        <v>13542503.27</v>
      </c>
      <c r="T297" s="128">
        <f t="shared" si="130"/>
        <v>3343.9105335934219</v>
      </c>
      <c r="U297" s="128">
        <v>3406.82</v>
      </c>
      <c r="V297" s="129"/>
    </row>
    <row r="298" spans="1:22" ht="35.25" x14ac:dyDescent="0.5">
      <c r="A298">
        <v>1</v>
      </c>
      <c r="B298" s="131">
        <f>SUBTOTAL(9,$A$186:A298)</f>
        <v>99</v>
      </c>
      <c r="C298" s="10" t="s">
        <v>188</v>
      </c>
      <c r="D298" s="123"/>
      <c r="E298" s="123">
        <v>1970</v>
      </c>
      <c r="F298" s="123" t="s">
        <v>420</v>
      </c>
      <c r="G298" s="123">
        <v>5</v>
      </c>
      <c r="H298" s="123" t="s">
        <v>322</v>
      </c>
      <c r="I298" s="124">
        <v>4146.08</v>
      </c>
      <c r="J298" s="124">
        <v>3173.5</v>
      </c>
      <c r="K298" s="125">
        <v>182</v>
      </c>
      <c r="L298" s="123" t="s">
        <v>418</v>
      </c>
      <c r="M298" s="123" t="s">
        <v>424</v>
      </c>
      <c r="N298" s="126" t="s">
        <v>447</v>
      </c>
      <c r="O298" s="128">
        <v>13840824.25</v>
      </c>
      <c r="P298" s="128">
        <v>0</v>
      </c>
      <c r="Q298" s="128">
        <v>0</v>
      </c>
      <c r="R298" s="128">
        <v>0</v>
      </c>
      <c r="S298" s="128">
        <f>O298-P298-Q298-R298</f>
        <v>13840824.25</v>
      </c>
      <c r="T298" s="128">
        <f t="shared" si="130"/>
        <v>3338.2916513911937</v>
      </c>
      <c r="U298" s="128">
        <v>3401.1</v>
      </c>
      <c r="V298" s="129"/>
    </row>
    <row r="299" spans="1:22" ht="35.25" x14ac:dyDescent="0.5">
      <c r="A299">
        <v>1</v>
      </c>
      <c r="B299" s="131">
        <f>SUBTOTAL(9,$A$186:A299)</f>
        <v>100</v>
      </c>
      <c r="C299" s="10" t="s">
        <v>189</v>
      </c>
      <c r="D299" s="123"/>
      <c r="E299" s="123">
        <v>1987</v>
      </c>
      <c r="F299" s="123" t="s">
        <v>420</v>
      </c>
      <c r="G299" s="123">
        <v>2</v>
      </c>
      <c r="H299" s="123" t="s">
        <v>327</v>
      </c>
      <c r="I299" s="124">
        <v>862.5</v>
      </c>
      <c r="J299" s="124">
        <v>503.4</v>
      </c>
      <c r="K299" s="125">
        <v>43</v>
      </c>
      <c r="L299" s="123" t="s">
        <v>418</v>
      </c>
      <c r="M299" s="123" t="s">
        <v>424</v>
      </c>
      <c r="N299" s="126" t="s">
        <v>448</v>
      </c>
      <c r="O299" s="128">
        <v>11024293.32</v>
      </c>
      <c r="P299" s="128">
        <v>0</v>
      </c>
      <c r="Q299" s="128">
        <v>0</v>
      </c>
      <c r="R299" s="128">
        <v>0</v>
      </c>
      <c r="S299" s="128">
        <f>O299-P299-Q299-R299</f>
        <v>11024293.32</v>
      </c>
      <c r="T299" s="128">
        <f t="shared" si="130"/>
        <v>12781.78935652174</v>
      </c>
      <c r="U299" s="128">
        <v>13022.27</v>
      </c>
      <c r="V299" s="129"/>
    </row>
    <row r="300" spans="1:22" s="83" customFormat="1" ht="35.25" x14ac:dyDescent="0.25">
      <c r="A300" s="83">
        <v>1</v>
      </c>
      <c r="B300" s="11">
        <f>SUBTOTAL(9,$A$186:A300)</f>
        <v>101</v>
      </c>
      <c r="C300" s="10" t="s">
        <v>190</v>
      </c>
      <c r="D300" s="11"/>
      <c r="E300" s="11">
        <v>1980</v>
      </c>
      <c r="F300" s="11" t="s">
        <v>420</v>
      </c>
      <c r="G300" s="11">
        <v>5</v>
      </c>
      <c r="H300" s="11" t="s">
        <v>324</v>
      </c>
      <c r="I300" s="136">
        <v>5144.3</v>
      </c>
      <c r="J300" s="136">
        <v>5144.2999999999993</v>
      </c>
      <c r="K300" s="137">
        <v>224</v>
      </c>
      <c r="L300" s="11" t="s">
        <v>418</v>
      </c>
      <c r="M300" s="11" t="s">
        <v>424</v>
      </c>
      <c r="N300" s="138" t="s">
        <v>447</v>
      </c>
      <c r="O300" s="139">
        <v>19198872.02</v>
      </c>
      <c r="P300" s="139">
        <v>0</v>
      </c>
      <c r="Q300" s="139">
        <v>0</v>
      </c>
      <c r="R300" s="139">
        <v>0</v>
      </c>
      <c r="S300" s="139">
        <f>O300-P300-Q300-R300</f>
        <v>19198872.02</v>
      </c>
      <c r="T300" s="139">
        <f t="shared" si="130"/>
        <v>3732.0669517718638</v>
      </c>
      <c r="U300" s="139">
        <v>3759.1</v>
      </c>
      <c r="V300" s="140"/>
    </row>
    <row r="301" spans="1:22" ht="35.25" x14ac:dyDescent="0.5">
      <c r="A301">
        <v>1</v>
      </c>
      <c r="B301" s="131">
        <f>SUBTOTAL(9,$A$186:A301)</f>
        <v>102</v>
      </c>
      <c r="C301" s="10" t="s">
        <v>191</v>
      </c>
      <c r="D301" s="123"/>
      <c r="E301" s="123">
        <v>1978</v>
      </c>
      <c r="F301" s="123" t="s">
        <v>420</v>
      </c>
      <c r="G301" s="123">
        <v>2</v>
      </c>
      <c r="H301" s="123" t="s">
        <v>318</v>
      </c>
      <c r="I301" s="124">
        <v>375</v>
      </c>
      <c r="J301" s="124">
        <v>375</v>
      </c>
      <c r="K301" s="125">
        <v>24</v>
      </c>
      <c r="L301" s="123" t="s">
        <v>418</v>
      </c>
      <c r="M301" s="123" t="s">
        <v>425</v>
      </c>
      <c r="N301" s="126" t="s">
        <v>426</v>
      </c>
      <c r="O301" s="128">
        <v>4189188.3</v>
      </c>
      <c r="P301" s="128">
        <v>0</v>
      </c>
      <c r="Q301" s="128">
        <v>0</v>
      </c>
      <c r="R301" s="128">
        <v>0</v>
      </c>
      <c r="S301" s="128">
        <f>O301-P301-Q301-R301</f>
        <v>4189188.3</v>
      </c>
      <c r="T301" s="128">
        <f t="shared" si="130"/>
        <v>11171.168799999999</v>
      </c>
      <c r="U301" s="128">
        <v>11381.35</v>
      </c>
      <c r="V301" s="129"/>
    </row>
    <row r="302" spans="1:22" ht="35.25" x14ac:dyDescent="0.5">
      <c r="B302" s="122" t="s">
        <v>699</v>
      </c>
      <c r="C302" s="122"/>
      <c r="D302" s="123" t="s">
        <v>423</v>
      </c>
      <c r="E302" s="123" t="s">
        <v>423</v>
      </c>
      <c r="F302" s="123" t="s">
        <v>423</v>
      </c>
      <c r="G302" s="123" t="s">
        <v>423</v>
      </c>
      <c r="H302" s="123" t="s">
        <v>423</v>
      </c>
      <c r="I302" s="124">
        <f>I303+I304+I305</f>
        <v>6442.8</v>
      </c>
      <c r="J302" s="124">
        <f t="shared" ref="J302:K302" si="137">J303+J304+J305</f>
        <v>5570.9000000000005</v>
      </c>
      <c r="K302" s="125">
        <f t="shared" si="137"/>
        <v>125</v>
      </c>
      <c r="L302" s="123" t="s">
        <v>423</v>
      </c>
      <c r="M302" s="123" t="s">
        <v>423</v>
      </c>
      <c r="N302" s="126" t="s">
        <v>423</v>
      </c>
      <c r="O302" s="127">
        <f>O303+O304+O305</f>
        <v>31395610.529999997</v>
      </c>
      <c r="P302" s="127">
        <f t="shared" ref="P302:S302" si="138">P303+P304+P305</f>
        <v>0</v>
      </c>
      <c r="Q302" s="127">
        <f t="shared" si="138"/>
        <v>0</v>
      </c>
      <c r="R302" s="127">
        <f t="shared" si="138"/>
        <v>0</v>
      </c>
      <c r="S302" s="127">
        <f t="shared" si="138"/>
        <v>31395610.529999997</v>
      </c>
      <c r="T302" s="128">
        <f t="shared" si="130"/>
        <v>4872.9761175265403</v>
      </c>
      <c r="U302" s="128">
        <f>MAX(U303:U305)</f>
        <v>9083.7999999999993</v>
      </c>
      <c r="V302" s="129"/>
    </row>
    <row r="303" spans="1:22" ht="35.25" x14ac:dyDescent="0.5">
      <c r="A303">
        <v>1</v>
      </c>
      <c r="B303" s="131">
        <f>SUBTOTAL(9,$A$186:A303)</f>
        <v>103</v>
      </c>
      <c r="C303" s="10" t="s">
        <v>202</v>
      </c>
      <c r="D303" s="123"/>
      <c r="E303" s="123">
        <v>1983</v>
      </c>
      <c r="F303" s="123" t="s">
        <v>420</v>
      </c>
      <c r="G303" s="123">
        <v>3</v>
      </c>
      <c r="H303" s="123" t="s">
        <v>327</v>
      </c>
      <c r="I303" s="124">
        <v>1923.6</v>
      </c>
      <c r="J303" s="124">
        <v>1636.7</v>
      </c>
      <c r="K303" s="125">
        <v>27</v>
      </c>
      <c r="L303" s="123" t="s">
        <v>418</v>
      </c>
      <c r="M303" s="123" t="s">
        <v>424</v>
      </c>
      <c r="N303" s="126" t="s">
        <v>434</v>
      </c>
      <c r="O303" s="128">
        <v>12110562.539999999</v>
      </c>
      <c r="P303" s="128">
        <v>0</v>
      </c>
      <c r="Q303" s="128">
        <v>0</v>
      </c>
      <c r="R303" s="128">
        <v>0</v>
      </c>
      <c r="S303" s="128">
        <f>O303-P303-Q303-R303</f>
        <v>12110562.539999999</v>
      </c>
      <c r="T303" s="128">
        <f t="shared" si="130"/>
        <v>6295.780068621335</v>
      </c>
      <c r="U303" s="128">
        <v>6414.23</v>
      </c>
      <c r="V303" s="129"/>
    </row>
    <row r="304" spans="1:22" ht="35.25" x14ac:dyDescent="0.5">
      <c r="A304">
        <v>1</v>
      </c>
      <c r="B304" s="131">
        <f>SUBTOTAL(9,$A$186:A304)</f>
        <v>104</v>
      </c>
      <c r="C304" s="10" t="s">
        <v>203</v>
      </c>
      <c r="D304" s="123"/>
      <c r="E304" s="123">
        <v>1979</v>
      </c>
      <c r="F304" s="123" t="s">
        <v>421</v>
      </c>
      <c r="G304" s="123">
        <v>5</v>
      </c>
      <c r="H304" s="123" t="s">
        <v>322</v>
      </c>
      <c r="I304" s="124">
        <v>3525.4</v>
      </c>
      <c r="J304" s="124">
        <v>3074.1</v>
      </c>
      <c r="K304" s="125">
        <v>60</v>
      </c>
      <c r="L304" s="123" t="s">
        <v>418</v>
      </c>
      <c r="M304" s="123" t="s">
        <v>424</v>
      </c>
      <c r="N304" s="126" t="s">
        <v>434</v>
      </c>
      <c r="O304" s="128">
        <v>10424280.01</v>
      </c>
      <c r="P304" s="128">
        <v>0</v>
      </c>
      <c r="Q304" s="128">
        <v>0</v>
      </c>
      <c r="R304" s="128">
        <v>0</v>
      </c>
      <c r="S304" s="128">
        <f>O304-P304-Q304-R304</f>
        <v>10424280.01</v>
      </c>
      <c r="T304" s="128">
        <f t="shared" si="130"/>
        <v>2956.9070204799455</v>
      </c>
      <c r="U304" s="128">
        <v>2956.91</v>
      </c>
      <c r="V304" s="129"/>
    </row>
    <row r="305" spans="1:22" ht="35.25" x14ac:dyDescent="0.5">
      <c r="A305">
        <v>1</v>
      </c>
      <c r="B305" s="131">
        <f>SUBTOTAL(9,$A$186:A305)</f>
        <v>105</v>
      </c>
      <c r="C305" s="10" t="s">
        <v>204</v>
      </c>
      <c r="D305" s="123"/>
      <c r="E305" s="123">
        <v>1984</v>
      </c>
      <c r="F305" s="123" t="s">
        <v>420</v>
      </c>
      <c r="G305" s="123">
        <v>2</v>
      </c>
      <c r="H305" s="123" t="s">
        <v>327</v>
      </c>
      <c r="I305" s="124">
        <v>993.8</v>
      </c>
      <c r="J305" s="124">
        <v>860.1</v>
      </c>
      <c r="K305" s="125">
        <v>38</v>
      </c>
      <c r="L305" s="123" t="s">
        <v>418</v>
      </c>
      <c r="M305" s="123" t="s">
        <v>424</v>
      </c>
      <c r="N305" s="126" t="s">
        <v>450</v>
      </c>
      <c r="O305" s="128">
        <v>8860767.9800000004</v>
      </c>
      <c r="P305" s="128">
        <v>0</v>
      </c>
      <c r="Q305" s="128">
        <v>0</v>
      </c>
      <c r="R305" s="128">
        <v>0</v>
      </c>
      <c r="S305" s="128">
        <f>O305-P305-Q305-R305</f>
        <v>8860767.9800000004</v>
      </c>
      <c r="T305" s="128">
        <f t="shared" si="130"/>
        <v>8916.0474743409141</v>
      </c>
      <c r="U305" s="128">
        <v>9083.7999999999993</v>
      </c>
      <c r="V305" s="129"/>
    </row>
    <row r="306" spans="1:22" ht="35.25" x14ac:dyDescent="0.5">
      <c r="B306" s="122" t="s">
        <v>669</v>
      </c>
      <c r="C306" s="122"/>
      <c r="D306" s="123" t="s">
        <v>423</v>
      </c>
      <c r="E306" s="123" t="s">
        <v>423</v>
      </c>
      <c r="F306" s="123" t="s">
        <v>423</v>
      </c>
      <c r="G306" s="123" t="s">
        <v>423</v>
      </c>
      <c r="H306" s="123" t="s">
        <v>423</v>
      </c>
      <c r="I306" s="124">
        <f>I307+I308</f>
        <v>1194.5999999999999</v>
      </c>
      <c r="J306" s="124">
        <f t="shared" ref="J306:K306" si="139">J307+J308</f>
        <v>1107.8</v>
      </c>
      <c r="K306" s="125">
        <f t="shared" si="139"/>
        <v>55</v>
      </c>
      <c r="L306" s="123" t="s">
        <v>423</v>
      </c>
      <c r="M306" s="123" t="s">
        <v>423</v>
      </c>
      <c r="N306" s="126" t="s">
        <v>423</v>
      </c>
      <c r="O306" s="128">
        <v>12274100.550000001</v>
      </c>
      <c r="P306" s="128">
        <f t="shared" ref="P306:S306" si="140">P307+P308</f>
        <v>0</v>
      </c>
      <c r="Q306" s="128">
        <f t="shared" si="140"/>
        <v>0</v>
      </c>
      <c r="R306" s="128">
        <f t="shared" si="140"/>
        <v>0</v>
      </c>
      <c r="S306" s="128">
        <f t="shared" si="140"/>
        <v>12274100.550000001</v>
      </c>
      <c r="T306" s="128">
        <f t="shared" si="130"/>
        <v>10274.653063787044</v>
      </c>
      <c r="U306" s="128">
        <f>MAX(U307:U308)</f>
        <v>11698.39</v>
      </c>
      <c r="V306" s="129"/>
    </row>
    <row r="307" spans="1:22" ht="35.25" x14ac:dyDescent="0.5">
      <c r="A307">
        <v>1</v>
      </c>
      <c r="B307" s="131">
        <f>SUBTOTAL(9,$A$186:A307)</f>
        <v>106</v>
      </c>
      <c r="C307" s="10" t="s">
        <v>211</v>
      </c>
      <c r="D307" s="123"/>
      <c r="E307" s="123">
        <v>1972</v>
      </c>
      <c r="F307" s="123" t="s">
        <v>420</v>
      </c>
      <c r="G307" s="123">
        <v>2</v>
      </c>
      <c r="H307" s="123" t="s">
        <v>320</v>
      </c>
      <c r="I307" s="124">
        <v>780.2</v>
      </c>
      <c r="J307" s="124">
        <v>723.9</v>
      </c>
      <c r="K307" s="125">
        <v>40</v>
      </c>
      <c r="L307" s="123" t="s">
        <v>418</v>
      </c>
      <c r="M307" s="123" t="s">
        <v>425</v>
      </c>
      <c r="N307" s="126" t="s">
        <v>426</v>
      </c>
      <c r="O307" s="128">
        <v>7426288.3500000006</v>
      </c>
      <c r="P307" s="128">
        <v>0</v>
      </c>
      <c r="Q307" s="128">
        <v>0</v>
      </c>
      <c r="R307" s="128">
        <v>0</v>
      </c>
      <c r="S307" s="128">
        <f>O307-P307-Q307-R307</f>
        <v>7426288.3500000006</v>
      </c>
      <c r="T307" s="128">
        <f t="shared" si="130"/>
        <v>9518.4418738784934</v>
      </c>
      <c r="U307" s="128">
        <v>9697.5300000000007</v>
      </c>
      <c r="V307" s="129"/>
    </row>
    <row r="308" spans="1:22" ht="35.25" x14ac:dyDescent="0.5">
      <c r="A308">
        <v>1</v>
      </c>
      <c r="B308" s="131">
        <f>SUBTOTAL(9,$A$186:A308)</f>
        <v>107</v>
      </c>
      <c r="C308" s="10" t="s">
        <v>212</v>
      </c>
      <c r="D308" s="123"/>
      <c r="E308" s="123">
        <v>1952</v>
      </c>
      <c r="F308" s="123" t="s">
        <v>420</v>
      </c>
      <c r="G308" s="123">
        <v>2</v>
      </c>
      <c r="H308" s="123" t="s">
        <v>320</v>
      </c>
      <c r="I308" s="124">
        <v>414.4</v>
      </c>
      <c r="J308" s="124">
        <v>383.9</v>
      </c>
      <c r="K308" s="125">
        <v>15</v>
      </c>
      <c r="L308" s="123" t="s">
        <v>418</v>
      </c>
      <c r="M308" s="123" t="s">
        <v>425</v>
      </c>
      <c r="N308" s="126" t="s">
        <v>426</v>
      </c>
      <c r="O308" s="128">
        <v>4847812.2</v>
      </c>
      <c r="P308" s="128">
        <v>0</v>
      </c>
      <c r="Q308" s="128">
        <v>0</v>
      </c>
      <c r="R308" s="128">
        <v>0</v>
      </c>
      <c r="S308" s="128">
        <f>O308-P308-Q308-R308</f>
        <v>4847812.2</v>
      </c>
      <c r="T308" s="128">
        <f t="shared" si="130"/>
        <v>11698.388513513515</v>
      </c>
      <c r="U308" s="128">
        <v>11698.39</v>
      </c>
      <c r="V308" s="129"/>
    </row>
    <row r="309" spans="1:22" ht="35.25" x14ac:dyDescent="0.5">
      <c r="B309" s="122" t="s">
        <v>222</v>
      </c>
      <c r="C309" s="122"/>
      <c r="D309" s="123" t="s">
        <v>423</v>
      </c>
      <c r="E309" s="123" t="s">
        <v>423</v>
      </c>
      <c r="F309" s="123" t="s">
        <v>423</v>
      </c>
      <c r="G309" s="123" t="s">
        <v>423</v>
      </c>
      <c r="H309" s="123" t="s">
        <v>423</v>
      </c>
      <c r="I309" s="124">
        <f>I310+I311</f>
        <v>1364.6999999999998</v>
      </c>
      <c r="J309" s="124">
        <f t="shared" ref="J309:K309" si="141">J310+J311</f>
        <v>1270.2</v>
      </c>
      <c r="K309" s="125">
        <f t="shared" si="141"/>
        <v>56</v>
      </c>
      <c r="L309" s="123" t="s">
        <v>423</v>
      </c>
      <c r="M309" s="123" t="s">
        <v>423</v>
      </c>
      <c r="N309" s="126" t="s">
        <v>423</v>
      </c>
      <c r="O309" s="128">
        <v>10822302.309999999</v>
      </c>
      <c r="P309" s="128">
        <f t="shared" ref="P309:S309" si="142">P310+P311</f>
        <v>0</v>
      </c>
      <c r="Q309" s="128">
        <f t="shared" si="142"/>
        <v>0</v>
      </c>
      <c r="R309" s="128">
        <f t="shared" si="142"/>
        <v>0</v>
      </c>
      <c r="S309" s="128">
        <f t="shared" si="142"/>
        <v>10822302.309999999</v>
      </c>
      <c r="T309" s="128">
        <f t="shared" si="130"/>
        <v>7930.1694951271338</v>
      </c>
      <c r="U309" s="128">
        <f>MAX(U310:U311)</f>
        <v>11368.73</v>
      </c>
      <c r="V309" s="129"/>
    </row>
    <row r="310" spans="1:22" ht="35.25" x14ac:dyDescent="0.5">
      <c r="A310">
        <v>1</v>
      </c>
      <c r="B310" s="131">
        <f>SUBTOTAL(9,$A$186:A310)</f>
        <v>108</v>
      </c>
      <c r="C310" s="10" t="s">
        <v>219</v>
      </c>
      <c r="D310" s="123"/>
      <c r="E310" s="123">
        <v>1964</v>
      </c>
      <c r="F310" s="123" t="s">
        <v>420</v>
      </c>
      <c r="G310" s="123">
        <v>2</v>
      </c>
      <c r="H310" s="123" t="s">
        <v>320</v>
      </c>
      <c r="I310" s="124">
        <v>422.4</v>
      </c>
      <c r="J310" s="124">
        <v>380</v>
      </c>
      <c r="K310" s="125">
        <v>14</v>
      </c>
      <c r="L310" s="123" t="s">
        <v>418</v>
      </c>
      <c r="M310" s="123" t="s">
        <v>425</v>
      </c>
      <c r="N310" s="126" t="s">
        <v>426</v>
      </c>
      <c r="O310" s="128">
        <v>4559538.01</v>
      </c>
      <c r="P310" s="128">
        <v>0</v>
      </c>
      <c r="Q310" s="128">
        <v>0</v>
      </c>
      <c r="R310" s="128">
        <v>0</v>
      </c>
      <c r="S310" s="128">
        <f>O310-P310-Q310-R310</f>
        <v>4559538.01</v>
      </c>
      <c r="T310" s="128">
        <f t="shared" si="130"/>
        <v>10794.360819128788</v>
      </c>
      <c r="U310" s="128">
        <v>11368.73</v>
      </c>
      <c r="V310" s="129"/>
    </row>
    <row r="311" spans="1:22" ht="35.25" x14ac:dyDescent="0.5">
      <c r="A311">
        <v>1</v>
      </c>
      <c r="B311" s="131">
        <f>SUBTOTAL(9,$A$186:A311)</f>
        <v>109</v>
      </c>
      <c r="C311" s="10" t="s">
        <v>220</v>
      </c>
      <c r="D311" s="123"/>
      <c r="E311" s="123">
        <v>1984</v>
      </c>
      <c r="F311" s="123" t="s">
        <v>421</v>
      </c>
      <c r="G311" s="123">
        <v>2</v>
      </c>
      <c r="H311" s="123" t="s">
        <v>320</v>
      </c>
      <c r="I311" s="124">
        <v>942.3</v>
      </c>
      <c r="J311" s="124">
        <v>890.2</v>
      </c>
      <c r="K311" s="125">
        <v>42</v>
      </c>
      <c r="L311" s="123" t="s">
        <v>418</v>
      </c>
      <c r="M311" s="123" t="s">
        <v>425</v>
      </c>
      <c r="N311" s="126" t="s">
        <v>426</v>
      </c>
      <c r="O311" s="128">
        <v>6262764.2999999998</v>
      </c>
      <c r="P311" s="128">
        <v>0</v>
      </c>
      <c r="Q311" s="128">
        <v>0</v>
      </c>
      <c r="R311" s="128">
        <v>0</v>
      </c>
      <c r="S311" s="128">
        <f>O311-P311-Q311-R311</f>
        <v>6262764.2999999998</v>
      </c>
      <c r="T311" s="128">
        <f t="shared" si="130"/>
        <v>6646.2531041069724</v>
      </c>
      <c r="U311" s="128">
        <v>6999.9</v>
      </c>
      <c r="V311" s="129"/>
    </row>
    <row r="312" spans="1:22" ht="35.25" x14ac:dyDescent="0.5">
      <c r="B312" s="145" t="s">
        <v>697</v>
      </c>
      <c r="C312" s="145"/>
      <c r="D312" s="123" t="s">
        <v>423</v>
      </c>
      <c r="E312" s="123" t="s">
        <v>423</v>
      </c>
      <c r="F312" s="123" t="s">
        <v>423</v>
      </c>
      <c r="G312" s="123" t="s">
        <v>423</v>
      </c>
      <c r="H312" s="123" t="s">
        <v>423</v>
      </c>
      <c r="I312" s="124">
        <f>I313+I314</f>
        <v>12592.59</v>
      </c>
      <c r="J312" s="124">
        <f t="shared" ref="J312:K312" si="143">J313+J314</f>
        <v>11324.439999999999</v>
      </c>
      <c r="K312" s="125">
        <f t="shared" si="143"/>
        <v>473</v>
      </c>
      <c r="L312" s="123" t="s">
        <v>423</v>
      </c>
      <c r="M312" s="123" t="s">
        <v>423</v>
      </c>
      <c r="N312" s="126" t="s">
        <v>423</v>
      </c>
      <c r="O312" s="127">
        <f>O313+O314</f>
        <v>42260023.789999999</v>
      </c>
      <c r="P312" s="127">
        <f t="shared" ref="P312:S312" si="144">P313+P314</f>
        <v>0</v>
      </c>
      <c r="Q312" s="127">
        <f t="shared" si="144"/>
        <v>0</v>
      </c>
      <c r="R312" s="127">
        <f t="shared" si="144"/>
        <v>0</v>
      </c>
      <c r="S312" s="127">
        <f t="shared" si="144"/>
        <v>42260023.789999999</v>
      </c>
      <c r="T312" s="128">
        <f t="shared" si="130"/>
        <v>3355.9437566060674</v>
      </c>
      <c r="U312" s="128">
        <f>MAX(U313:U314)</f>
        <v>3422.87</v>
      </c>
      <c r="V312" s="129"/>
    </row>
    <row r="313" spans="1:22" ht="35.25" x14ac:dyDescent="0.5">
      <c r="A313">
        <v>1</v>
      </c>
      <c r="B313" s="131">
        <f>SUBTOTAL(9,$A$186:A313)</f>
        <v>110</v>
      </c>
      <c r="C313" s="10" t="s">
        <v>283</v>
      </c>
      <c r="D313" s="123"/>
      <c r="E313" s="123">
        <v>1971</v>
      </c>
      <c r="F313" s="123" t="s">
        <v>420</v>
      </c>
      <c r="G313" s="123">
        <v>5</v>
      </c>
      <c r="H313" s="123" t="s">
        <v>324</v>
      </c>
      <c r="I313" s="124">
        <v>5777.35</v>
      </c>
      <c r="J313" s="124">
        <v>4509.2</v>
      </c>
      <c r="K313" s="125">
        <v>165</v>
      </c>
      <c r="L313" s="123" t="s">
        <v>418</v>
      </c>
      <c r="M313" s="123" t="s">
        <v>424</v>
      </c>
      <c r="N313" s="126" t="s">
        <v>469</v>
      </c>
      <c r="O313" s="128">
        <v>19409905.789999999</v>
      </c>
      <c r="P313" s="128">
        <v>0</v>
      </c>
      <c r="Q313" s="128">
        <v>0</v>
      </c>
      <c r="R313" s="128">
        <v>0</v>
      </c>
      <c r="S313" s="128">
        <f>O313-P313-Q313-R313</f>
        <v>19409905.789999999</v>
      </c>
      <c r="T313" s="128">
        <f t="shared" si="130"/>
        <v>3359.6555150717886</v>
      </c>
      <c r="U313" s="128">
        <v>3422.87</v>
      </c>
      <c r="V313" s="129"/>
    </row>
    <row r="314" spans="1:22" ht="35.25" x14ac:dyDescent="0.5">
      <c r="A314">
        <v>1</v>
      </c>
      <c r="B314" s="131">
        <f>SUBTOTAL(9,$A$186:A314)</f>
        <v>111</v>
      </c>
      <c r="C314" s="10" t="s">
        <v>284</v>
      </c>
      <c r="D314" s="123"/>
      <c r="E314" s="123">
        <v>1978</v>
      </c>
      <c r="F314" s="123" t="s">
        <v>420</v>
      </c>
      <c r="G314" s="123">
        <v>5</v>
      </c>
      <c r="H314" s="123" t="s">
        <v>357</v>
      </c>
      <c r="I314" s="124">
        <v>6815.24</v>
      </c>
      <c r="J314" s="124">
        <v>6815.24</v>
      </c>
      <c r="K314" s="125">
        <v>308</v>
      </c>
      <c r="L314" s="123" t="s">
        <v>418</v>
      </c>
      <c r="M314" s="123" t="s">
        <v>424</v>
      </c>
      <c r="N314" s="126" t="s">
        <v>470</v>
      </c>
      <c r="O314" s="128">
        <v>22850118</v>
      </c>
      <c r="P314" s="128">
        <v>0</v>
      </c>
      <c r="Q314" s="128">
        <v>0</v>
      </c>
      <c r="R314" s="128">
        <v>0</v>
      </c>
      <c r="S314" s="128">
        <f>O314-P314-Q314-R314</f>
        <v>22850118</v>
      </c>
      <c r="T314" s="128">
        <f t="shared" si="130"/>
        <v>3352.7972602578925</v>
      </c>
      <c r="U314" s="128">
        <v>3415.88</v>
      </c>
      <c r="V314" s="129"/>
    </row>
    <row r="315" spans="1:22" ht="35.25" x14ac:dyDescent="0.5">
      <c r="B315" s="145" t="s">
        <v>698</v>
      </c>
      <c r="C315" s="145"/>
      <c r="D315" s="123" t="s">
        <v>423</v>
      </c>
      <c r="E315" s="123" t="s">
        <v>423</v>
      </c>
      <c r="F315" s="123" t="s">
        <v>423</v>
      </c>
      <c r="G315" s="123" t="s">
        <v>423</v>
      </c>
      <c r="H315" s="123" t="s">
        <v>423</v>
      </c>
      <c r="I315" s="124">
        <f>SUM(I316:I318)</f>
        <v>13179.39</v>
      </c>
      <c r="J315" s="124">
        <f t="shared" ref="J315:K315" si="145">SUM(J316:J318)</f>
        <v>10869.499999999998</v>
      </c>
      <c r="K315" s="125">
        <f t="shared" si="145"/>
        <v>525</v>
      </c>
      <c r="L315" s="123" t="s">
        <v>423</v>
      </c>
      <c r="M315" s="123" t="s">
        <v>423</v>
      </c>
      <c r="N315" s="126" t="s">
        <v>423</v>
      </c>
      <c r="O315" s="127">
        <f>SUM(O316:O318)</f>
        <v>54198804.079999998</v>
      </c>
      <c r="P315" s="127">
        <f t="shared" ref="P315:S315" si="146">SUM(P316:P318)</f>
        <v>0</v>
      </c>
      <c r="Q315" s="127">
        <f t="shared" si="146"/>
        <v>0</v>
      </c>
      <c r="R315" s="127">
        <f t="shared" si="146"/>
        <v>0</v>
      </c>
      <c r="S315" s="127">
        <f t="shared" si="146"/>
        <v>54198804.079999998</v>
      </c>
      <c r="T315" s="128">
        <f t="shared" si="130"/>
        <v>4112.390943738671</v>
      </c>
      <c r="U315" s="128">
        <f>MAX(U316:U318)</f>
        <v>16645.080000000002</v>
      </c>
      <c r="V315" s="129"/>
    </row>
    <row r="316" spans="1:22" ht="35.25" x14ac:dyDescent="0.5">
      <c r="A316">
        <v>1</v>
      </c>
      <c r="B316" s="131">
        <f>SUBTOTAL(9,$A$186:A316)</f>
        <v>112</v>
      </c>
      <c r="C316" s="10" t="s">
        <v>285</v>
      </c>
      <c r="D316" s="123"/>
      <c r="E316" s="123">
        <v>1986</v>
      </c>
      <c r="F316" s="123" t="s">
        <v>420</v>
      </c>
      <c r="G316" s="123">
        <v>5</v>
      </c>
      <c r="H316" s="123" t="s">
        <v>331</v>
      </c>
      <c r="I316" s="124">
        <v>8273.59</v>
      </c>
      <c r="J316" s="124">
        <v>5965.3</v>
      </c>
      <c r="K316" s="125">
        <v>244</v>
      </c>
      <c r="L316" s="123" t="s">
        <v>418</v>
      </c>
      <c r="M316" s="123" t="s">
        <v>424</v>
      </c>
      <c r="N316" s="126" t="s">
        <v>471</v>
      </c>
      <c r="O316" s="128">
        <v>20904001.079999998</v>
      </c>
      <c r="P316" s="128">
        <v>0</v>
      </c>
      <c r="Q316" s="128">
        <v>0</v>
      </c>
      <c r="R316" s="128">
        <v>0</v>
      </c>
      <c r="S316" s="128">
        <f>O316-P316-Q316-R316</f>
        <v>20904001.079999998</v>
      </c>
      <c r="T316" s="128">
        <f t="shared" ref="T316:T335" si="147">O316/I316</f>
        <v>2526.5937857689346</v>
      </c>
      <c r="U316" s="128">
        <v>3299.93</v>
      </c>
      <c r="V316" s="129"/>
    </row>
    <row r="317" spans="1:22" ht="35.25" x14ac:dyDescent="0.5">
      <c r="A317">
        <v>1</v>
      </c>
      <c r="B317" s="131">
        <f>SUBTOTAL(9,$A$186:A317)</f>
        <v>113</v>
      </c>
      <c r="C317" s="10" t="s">
        <v>286</v>
      </c>
      <c r="D317" s="123"/>
      <c r="E317" s="123">
        <v>1982</v>
      </c>
      <c r="F317" s="123" t="s">
        <v>420</v>
      </c>
      <c r="G317" s="123">
        <v>5</v>
      </c>
      <c r="H317" s="123" t="s">
        <v>324</v>
      </c>
      <c r="I317" s="124">
        <v>4247.8</v>
      </c>
      <c r="J317" s="124">
        <v>4247.7999999999993</v>
      </c>
      <c r="K317" s="125">
        <v>239</v>
      </c>
      <c r="L317" s="123" t="s">
        <v>418</v>
      </c>
      <c r="M317" s="123" t="s">
        <v>425</v>
      </c>
      <c r="N317" s="126" t="s">
        <v>426</v>
      </c>
      <c r="O317" s="128">
        <v>22342338</v>
      </c>
      <c r="P317" s="128">
        <v>0</v>
      </c>
      <c r="Q317" s="128">
        <v>0</v>
      </c>
      <c r="R317" s="128">
        <v>0</v>
      </c>
      <c r="S317" s="128">
        <f>O317-P317-Q317-R317</f>
        <v>22342338</v>
      </c>
      <c r="T317" s="128">
        <f t="shared" si="147"/>
        <v>5259.74339658176</v>
      </c>
      <c r="U317" s="128">
        <v>5358.7</v>
      </c>
      <c r="V317" s="129"/>
    </row>
    <row r="318" spans="1:22" ht="35.25" x14ac:dyDescent="0.5">
      <c r="A318">
        <v>1</v>
      </c>
      <c r="B318" s="131">
        <f>SUBTOTAL(9,$A$186:A318)</f>
        <v>114</v>
      </c>
      <c r="C318" s="10" t="s">
        <v>287</v>
      </c>
      <c r="D318" s="123"/>
      <c r="E318" s="123">
        <v>1961</v>
      </c>
      <c r="F318" s="123" t="s">
        <v>420</v>
      </c>
      <c r="G318" s="123">
        <v>2</v>
      </c>
      <c r="H318" s="123" t="s">
        <v>320</v>
      </c>
      <c r="I318" s="124">
        <v>658</v>
      </c>
      <c r="J318" s="124">
        <v>656.4</v>
      </c>
      <c r="K318" s="125">
        <v>42</v>
      </c>
      <c r="L318" s="123" t="s">
        <v>418</v>
      </c>
      <c r="M318" s="123" t="s">
        <v>425</v>
      </c>
      <c r="N318" s="126" t="s">
        <v>426</v>
      </c>
      <c r="O318" s="128">
        <v>10952465</v>
      </c>
      <c r="P318" s="128">
        <v>0</v>
      </c>
      <c r="Q318" s="128">
        <v>0</v>
      </c>
      <c r="R318" s="128">
        <v>0</v>
      </c>
      <c r="S318" s="128">
        <f>O318-P318-Q318-R318</f>
        <v>10952465</v>
      </c>
      <c r="T318" s="128">
        <f t="shared" si="147"/>
        <v>16645.08358662614</v>
      </c>
      <c r="U318" s="128">
        <v>16645.080000000002</v>
      </c>
      <c r="V318" s="129"/>
    </row>
    <row r="319" spans="1:22" ht="35.25" x14ac:dyDescent="0.5">
      <c r="B319" s="122" t="s">
        <v>690</v>
      </c>
      <c r="C319" s="122"/>
      <c r="D319" s="123" t="s">
        <v>423</v>
      </c>
      <c r="E319" s="123" t="s">
        <v>423</v>
      </c>
      <c r="F319" s="123" t="s">
        <v>423</v>
      </c>
      <c r="G319" s="123" t="s">
        <v>423</v>
      </c>
      <c r="H319" s="123" t="s">
        <v>423</v>
      </c>
      <c r="I319" s="124">
        <f>I320</f>
        <v>3282.5</v>
      </c>
      <c r="J319" s="124">
        <f t="shared" ref="J319:K319" si="148">J320</f>
        <v>3068.9</v>
      </c>
      <c r="K319" s="125">
        <f t="shared" si="148"/>
        <v>156</v>
      </c>
      <c r="L319" s="123" t="s">
        <v>423</v>
      </c>
      <c r="M319" s="123" t="s">
        <v>423</v>
      </c>
      <c r="N319" s="126" t="s">
        <v>423</v>
      </c>
      <c r="O319" s="128">
        <v>13374774.17</v>
      </c>
      <c r="P319" s="128">
        <f t="shared" ref="P319:S319" si="149">P320</f>
        <v>0</v>
      </c>
      <c r="Q319" s="128">
        <f t="shared" si="149"/>
        <v>0</v>
      </c>
      <c r="R319" s="128">
        <f t="shared" si="149"/>
        <v>0</v>
      </c>
      <c r="S319" s="128">
        <f t="shared" si="149"/>
        <v>13374774.17</v>
      </c>
      <c r="T319" s="128">
        <f t="shared" si="147"/>
        <v>4074.5694348819497</v>
      </c>
      <c r="U319" s="128">
        <f>U320</f>
        <v>4294.7</v>
      </c>
      <c r="V319" s="129"/>
    </row>
    <row r="320" spans="1:22" ht="35.25" x14ac:dyDescent="0.5">
      <c r="A320">
        <v>1</v>
      </c>
      <c r="B320" s="131">
        <f>SUBTOTAL(9,$A$186:A320)</f>
        <v>115</v>
      </c>
      <c r="C320" s="10" t="s">
        <v>225</v>
      </c>
      <c r="D320" s="123"/>
      <c r="E320" s="123">
        <v>1993</v>
      </c>
      <c r="F320" s="123" t="s">
        <v>421</v>
      </c>
      <c r="G320" s="123">
        <v>5</v>
      </c>
      <c r="H320" s="123" t="s">
        <v>322</v>
      </c>
      <c r="I320" s="124">
        <v>3282.5</v>
      </c>
      <c r="J320" s="124">
        <v>3068.9</v>
      </c>
      <c r="K320" s="125">
        <v>156</v>
      </c>
      <c r="L320" s="123" t="s">
        <v>418</v>
      </c>
      <c r="M320" s="123" t="s">
        <v>424</v>
      </c>
      <c r="N320" s="126" t="s">
        <v>454</v>
      </c>
      <c r="O320" s="128">
        <v>13374774.17</v>
      </c>
      <c r="P320" s="128">
        <v>0</v>
      </c>
      <c r="Q320" s="128">
        <v>0</v>
      </c>
      <c r="R320" s="128">
        <v>0</v>
      </c>
      <c r="S320" s="128">
        <f>O320-P320-Q320-R320</f>
        <v>13374774.17</v>
      </c>
      <c r="T320" s="128">
        <f t="shared" si="147"/>
        <v>4074.5694348819497</v>
      </c>
      <c r="U320" s="128">
        <v>4294.7</v>
      </c>
      <c r="V320" s="129"/>
    </row>
    <row r="321" spans="1:22" ht="35.25" x14ac:dyDescent="0.5">
      <c r="B321" s="122" t="s">
        <v>242</v>
      </c>
      <c r="C321" s="122"/>
      <c r="D321" s="123" t="s">
        <v>423</v>
      </c>
      <c r="E321" s="123" t="s">
        <v>423</v>
      </c>
      <c r="F321" s="123" t="s">
        <v>423</v>
      </c>
      <c r="G321" s="123" t="s">
        <v>423</v>
      </c>
      <c r="H321" s="123" t="s">
        <v>423</v>
      </c>
      <c r="I321" s="124">
        <f>SUM(I322:I325)</f>
        <v>16010.28</v>
      </c>
      <c r="J321" s="124">
        <f t="shared" ref="J321:K321" si="150">SUM(J322:J325)</f>
        <v>10776.670000000002</v>
      </c>
      <c r="K321" s="125">
        <f t="shared" si="150"/>
        <v>498</v>
      </c>
      <c r="L321" s="123" t="s">
        <v>423</v>
      </c>
      <c r="M321" s="123" t="s">
        <v>423</v>
      </c>
      <c r="N321" s="126" t="s">
        <v>423</v>
      </c>
      <c r="O321" s="128">
        <v>50950786.43</v>
      </c>
      <c r="P321" s="128">
        <f t="shared" ref="P321:S321" si="151">SUM(P322:P325)</f>
        <v>0</v>
      </c>
      <c r="Q321" s="128">
        <f t="shared" si="151"/>
        <v>0</v>
      </c>
      <c r="R321" s="128">
        <f t="shared" si="151"/>
        <v>0</v>
      </c>
      <c r="S321" s="128">
        <f t="shared" si="151"/>
        <v>50950786.43</v>
      </c>
      <c r="T321" s="128">
        <f t="shared" si="147"/>
        <v>3182.3794730635564</v>
      </c>
      <c r="U321" s="128">
        <f>MAX(U322:U325)</f>
        <v>9526.2658603861655</v>
      </c>
      <c r="V321" s="129"/>
    </row>
    <row r="322" spans="1:22" ht="35.25" x14ac:dyDescent="0.5">
      <c r="A322">
        <v>1</v>
      </c>
      <c r="B322" s="131">
        <f>SUBTOTAL(9,$A$186:A322)</f>
        <v>116</v>
      </c>
      <c r="C322" s="10" t="s">
        <v>233</v>
      </c>
      <c r="D322" s="123"/>
      <c r="E322" s="123">
        <v>1970</v>
      </c>
      <c r="F322" s="123" t="s">
        <v>420</v>
      </c>
      <c r="G322" s="123">
        <v>5</v>
      </c>
      <c r="H322" s="123" t="s">
        <v>324</v>
      </c>
      <c r="I322" s="124">
        <v>7694.8</v>
      </c>
      <c r="J322" s="124">
        <v>4790</v>
      </c>
      <c r="K322" s="125">
        <v>214</v>
      </c>
      <c r="L322" s="123" t="s">
        <v>418</v>
      </c>
      <c r="M322" s="123" t="s">
        <v>424</v>
      </c>
      <c r="N322" s="126" t="s">
        <v>457</v>
      </c>
      <c r="O322" s="128">
        <v>20716171</v>
      </c>
      <c r="P322" s="128">
        <v>0</v>
      </c>
      <c r="Q322" s="128">
        <v>0</v>
      </c>
      <c r="R322" s="128">
        <v>0</v>
      </c>
      <c r="S322" s="128">
        <f>O322-P322-Q322-R322</f>
        <v>20716171</v>
      </c>
      <c r="T322" s="128">
        <f t="shared" si="147"/>
        <v>2692.2299474970109</v>
      </c>
      <c r="U322" s="128">
        <v>2742.88</v>
      </c>
      <c r="V322" s="129"/>
    </row>
    <row r="323" spans="1:22" ht="35.25" x14ac:dyDescent="0.5">
      <c r="A323">
        <v>1</v>
      </c>
      <c r="B323" s="131">
        <f>SUBTOTAL(9,$A$186:A323)</f>
        <v>117</v>
      </c>
      <c r="C323" s="10" t="s">
        <v>234</v>
      </c>
      <c r="D323" s="123"/>
      <c r="E323" s="123">
        <v>1961</v>
      </c>
      <c r="F323" s="123" t="s">
        <v>420</v>
      </c>
      <c r="G323" s="123">
        <v>3</v>
      </c>
      <c r="H323" s="123" t="s">
        <v>327</v>
      </c>
      <c r="I323" s="124">
        <v>2339.17</v>
      </c>
      <c r="J323" s="124">
        <v>1530.17</v>
      </c>
      <c r="K323" s="125">
        <v>73</v>
      </c>
      <c r="L323" s="123" t="s">
        <v>418</v>
      </c>
      <c r="M323" s="123" t="s">
        <v>424</v>
      </c>
      <c r="N323" s="126" t="s">
        <v>455</v>
      </c>
      <c r="O323" s="128">
        <v>10917278.6</v>
      </c>
      <c r="P323" s="128">
        <v>0</v>
      </c>
      <c r="Q323" s="128">
        <v>0</v>
      </c>
      <c r="R323" s="128">
        <v>0</v>
      </c>
      <c r="S323" s="128">
        <f>O323-P323-Q323-R323</f>
        <v>10917278.6</v>
      </c>
      <c r="T323" s="128">
        <f t="shared" si="147"/>
        <v>4667.1591205427567</v>
      </c>
      <c r="U323" s="128">
        <v>4754.97</v>
      </c>
      <c r="V323" s="129"/>
    </row>
    <row r="324" spans="1:22" ht="35.25" x14ac:dyDescent="0.5">
      <c r="A324">
        <v>1</v>
      </c>
      <c r="B324" s="131">
        <f>SUBTOTAL(9,$A$186:A324)</f>
        <v>118</v>
      </c>
      <c r="C324" s="10" t="s">
        <v>235</v>
      </c>
      <c r="D324" s="123"/>
      <c r="E324" s="123">
        <v>1985</v>
      </c>
      <c r="F324" s="123" t="s">
        <v>421</v>
      </c>
      <c r="G324" s="123">
        <v>5</v>
      </c>
      <c r="H324" s="123" t="s">
        <v>335</v>
      </c>
      <c r="I324" s="124">
        <v>5363.62</v>
      </c>
      <c r="J324" s="124">
        <v>3901.8</v>
      </c>
      <c r="K324" s="125">
        <v>180</v>
      </c>
      <c r="L324" s="123" t="s">
        <v>418</v>
      </c>
      <c r="M324" s="123" t="s">
        <v>424</v>
      </c>
      <c r="N324" s="126" t="s">
        <v>455</v>
      </c>
      <c r="O324" s="128">
        <v>13480689</v>
      </c>
      <c r="P324" s="128">
        <v>0</v>
      </c>
      <c r="Q324" s="128">
        <v>0</v>
      </c>
      <c r="R324" s="128">
        <v>0</v>
      </c>
      <c r="S324" s="128">
        <f>O324-P324-Q324-R324</f>
        <v>13480689</v>
      </c>
      <c r="T324" s="128">
        <f t="shared" si="147"/>
        <v>2513.3564644773492</v>
      </c>
      <c r="U324" s="128">
        <v>2513.36</v>
      </c>
      <c r="V324" s="129"/>
    </row>
    <row r="325" spans="1:22" ht="35.25" x14ac:dyDescent="0.5">
      <c r="A325">
        <v>1</v>
      </c>
      <c r="B325" s="131">
        <f>SUBTOTAL(9,$A$186:A325)</f>
        <v>119</v>
      </c>
      <c r="C325" s="10" t="s">
        <v>236</v>
      </c>
      <c r="D325" s="123"/>
      <c r="E325" s="123">
        <v>1991</v>
      </c>
      <c r="F325" s="123" t="s">
        <v>421</v>
      </c>
      <c r="G325" s="123">
        <v>2</v>
      </c>
      <c r="H325" s="123" t="s">
        <v>320</v>
      </c>
      <c r="I325" s="124">
        <v>612.69000000000005</v>
      </c>
      <c r="J325" s="124">
        <v>554.70000000000005</v>
      </c>
      <c r="K325" s="125">
        <v>31</v>
      </c>
      <c r="L325" s="123" t="s">
        <v>418</v>
      </c>
      <c r="M325" s="123" t="s">
        <v>425</v>
      </c>
      <c r="N325" s="126" t="s">
        <v>426</v>
      </c>
      <c r="O325" s="128">
        <v>5836647.8300000001</v>
      </c>
      <c r="P325" s="128">
        <v>0</v>
      </c>
      <c r="Q325" s="128">
        <v>0</v>
      </c>
      <c r="R325" s="128">
        <v>0</v>
      </c>
      <c r="S325" s="128">
        <f>O325-P325-Q325-R325</f>
        <v>5836647.8300000001</v>
      </c>
      <c r="T325" s="128">
        <f t="shared" si="147"/>
        <v>9526.2658603861655</v>
      </c>
      <c r="U325" s="128">
        <v>9526.2658603861655</v>
      </c>
      <c r="V325" s="129"/>
    </row>
    <row r="326" spans="1:22" ht="35.25" x14ac:dyDescent="0.5">
      <c r="B326" s="122" t="s">
        <v>670</v>
      </c>
      <c r="C326" s="122"/>
      <c r="D326" s="123" t="s">
        <v>423</v>
      </c>
      <c r="E326" s="123" t="s">
        <v>423</v>
      </c>
      <c r="F326" s="123" t="s">
        <v>423</v>
      </c>
      <c r="G326" s="123" t="s">
        <v>423</v>
      </c>
      <c r="H326" s="123" t="s">
        <v>423</v>
      </c>
      <c r="I326" s="124">
        <f>I327+I328+I329+I330</f>
        <v>2923.7000000000003</v>
      </c>
      <c r="J326" s="124">
        <f t="shared" ref="J326:K326" si="152">J327+J328+J329+J330</f>
        <v>2861.6000000000004</v>
      </c>
      <c r="K326" s="125">
        <f t="shared" si="152"/>
        <v>84</v>
      </c>
      <c r="L326" s="123" t="s">
        <v>423</v>
      </c>
      <c r="M326" s="123" t="s">
        <v>423</v>
      </c>
      <c r="N326" s="126" t="s">
        <v>423</v>
      </c>
      <c r="O326" s="128">
        <f>O327+O328+O329+O330</f>
        <v>31040912.140000001</v>
      </c>
      <c r="P326" s="128">
        <f t="shared" ref="P326:S326" si="153">P327+P328+P329+P330</f>
        <v>0</v>
      </c>
      <c r="Q326" s="128">
        <f t="shared" si="153"/>
        <v>0</v>
      </c>
      <c r="R326" s="128">
        <f t="shared" si="153"/>
        <v>0</v>
      </c>
      <c r="S326" s="128">
        <f t="shared" si="153"/>
        <v>31040912.140000001</v>
      </c>
      <c r="T326" s="128">
        <f t="shared" si="147"/>
        <v>10616.996319731847</v>
      </c>
      <c r="U326" s="128">
        <f>MAX(U327:U330)</f>
        <v>18384.63</v>
      </c>
      <c r="V326" s="129"/>
    </row>
    <row r="327" spans="1:22" ht="35.25" x14ac:dyDescent="0.5">
      <c r="A327">
        <v>1</v>
      </c>
      <c r="B327" s="131">
        <f>SUBTOTAL(9,$A$186:A327)</f>
        <v>120</v>
      </c>
      <c r="C327" s="10" t="s">
        <v>247</v>
      </c>
      <c r="D327" s="123"/>
      <c r="E327" s="123">
        <v>1980</v>
      </c>
      <c r="F327" s="123" t="s">
        <v>420</v>
      </c>
      <c r="G327" s="123">
        <v>2</v>
      </c>
      <c r="H327" s="123" t="s">
        <v>322</v>
      </c>
      <c r="I327" s="124">
        <v>1123.2</v>
      </c>
      <c r="J327" s="124">
        <v>1123.2</v>
      </c>
      <c r="K327" s="125">
        <v>35</v>
      </c>
      <c r="L327" s="123" t="s">
        <v>418</v>
      </c>
      <c r="M327" s="123" t="s">
        <v>424</v>
      </c>
      <c r="N327" s="126" t="s">
        <v>461</v>
      </c>
      <c r="O327" s="128">
        <v>14582056.690000001</v>
      </c>
      <c r="P327" s="128">
        <v>0</v>
      </c>
      <c r="Q327" s="128">
        <v>0</v>
      </c>
      <c r="R327" s="128">
        <v>0</v>
      </c>
      <c r="S327" s="128">
        <f>O327-P327-Q327-R327</f>
        <v>14582056.690000001</v>
      </c>
      <c r="T327" s="128">
        <f t="shared" si="147"/>
        <v>12982.600329415955</v>
      </c>
      <c r="U327" s="128">
        <v>13226.86</v>
      </c>
      <c r="V327" s="129"/>
    </row>
    <row r="328" spans="1:22" ht="35.25" x14ac:dyDescent="0.5">
      <c r="A328">
        <v>1</v>
      </c>
      <c r="B328" s="131">
        <f>SUBTOTAL(9,$A$186:A328)</f>
        <v>121</v>
      </c>
      <c r="C328" s="10" t="s">
        <v>248</v>
      </c>
      <c r="D328" s="123"/>
      <c r="E328" s="123">
        <v>1974</v>
      </c>
      <c r="F328" s="123" t="s">
        <v>420</v>
      </c>
      <c r="G328" s="123">
        <v>2</v>
      </c>
      <c r="H328" s="123" t="s">
        <v>320</v>
      </c>
      <c r="I328" s="124">
        <v>717.7</v>
      </c>
      <c r="J328" s="124">
        <v>717.7</v>
      </c>
      <c r="K328" s="125">
        <v>21</v>
      </c>
      <c r="L328" s="123" t="s">
        <v>418</v>
      </c>
      <c r="M328" s="123" t="s">
        <v>424</v>
      </c>
      <c r="N328" s="126" t="s">
        <v>461</v>
      </c>
      <c r="O328" s="128">
        <v>2009595.8399999999</v>
      </c>
      <c r="P328" s="128">
        <v>0</v>
      </c>
      <c r="Q328" s="128">
        <v>0</v>
      </c>
      <c r="R328" s="128">
        <v>0</v>
      </c>
      <c r="S328" s="128">
        <f>O328-P328-Q328-R328</f>
        <v>2009595.8399999999</v>
      </c>
      <c r="T328" s="128">
        <f t="shared" si="147"/>
        <v>2800.0499372997069</v>
      </c>
      <c r="U328" s="128">
        <v>2800.0499372997069</v>
      </c>
      <c r="V328" s="129"/>
    </row>
    <row r="329" spans="1:22" ht="35.25" x14ac:dyDescent="0.5">
      <c r="A329">
        <v>1</v>
      </c>
      <c r="B329" s="131">
        <f>SUBTOTAL(9,$A$186:A329)</f>
        <v>122</v>
      </c>
      <c r="C329" s="10" t="s">
        <v>249</v>
      </c>
      <c r="D329" s="123"/>
      <c r="E329" s="123">
        <v>1965</v>
      </c>
      <c r="F329" s="123" t="s">
        <v>420</v>
      </c>
      <c r="G329" s="123">
        <v>2</v>
      </c>
      <c r="H329" s="123" t="s">
        <v>318</v>
      </c>
      <c r="I329" s="124">
        <v>300.8</v>
      </c>
      <c r="J329" s="124">
        <v>300.8</v>
      </c>
      <c r="K329" s="125">
        <v>12</v>
      </c>
      <c r="L329" s="123" t="s">
        <v>418</v>
      </c>
      <c r="M329" s="123" t="s">
        <v>424</v>
      </c>
      <c r="N329" s="126" t="s">
        <v>461</v>
      </c>
      <c r="O329" s="128">
        <v>5530096.8799999999</v>
      </c>
      <c r="P329" s="128">
        <v>0</v>
      </c>
      <c r="Q329" s="128">
        <v>0</v>
      </c>
      <c r="R329" s="128">
        <v>0</v>
      </c>
      <c r="S329" s="128">
        <f>O329-P329-Q329-R329</f>
        <v>5530096.8799999999</v>
      </c>
      <c r="T329" s="128">
        <f t="shared" si="147"/>
        <v>18384.630585106381</v>
      </c>
      <c r="U329" s="128">
        <v>18384.63</v>
      </c>
      <c r="V329" s="129"/>
    </row>
    <row r="330" spans="1:22" ht="35.25" x14ac:dyDescent="0.5">
      <c r="A330">
        <v>1</v>
      </c>
      <c r="B330" s="131">
        <f>SUBTOTAL(9,$A$186:A330)</f>
        <v>123</v>
      </c>
      <c r="C330" s="10" t="s">
        <v>250</v>
      </c>
      <c r="D330" s="123"/>
      <c r="E330" s="123">
        <v>1975</v>
      </c>
      <c r="F330" s="123" t="s">
        <v>420</v>
      </c>
      <c r="G330" s="123">
        <v>2</v>
      </c>
      <c r="H330" s="123" t="s">
        <v>320</v>
      </c>
      <c r="I330" s="124">
        <v>782</v>
      </c>
      <c r="J330" s="124">
        <v>719.9</v>
      </c>
      <c r="K330" s="125">
        <v>16</v>
      </c>
      <c r="L330" s="123" t="s">
        <v>418</v>
      </c>
      <c r="M330" s="123" t="s">
        <v>424</v>
      </c>
      <c r="N330" s="126" t="s">
        <v>461</v>
      </c>
      <c r="O330" s="128">
        <v>8919162.7299999986</v>
      </c>
      <c r="P330" s="128">
        <v>0</v>
      </c>
      <c r="Q330" s="128">
        <v>0</v>
      </c>
      <c r="R330" s="128">
        <v>0</v>
      </c>
      <c r="S330" s="128">
        <f>O330-P330-Q330-R330</f>
        <v>8919162.7299999986</v>
      </c>
      <c r="T330" s="128">
        <f t="shared" si="147"/>
        <v>11405.578938618924</v>
      </c>
      <c r="U330" s="128">
        <v>11620.17</v>
      </c>
      <c r="V330" s="129"/>
    </row>
    <row r="331" spans="1:22" ht="35.25" x14ac:dyDescent="0.5">
      <c r="B331" s="122" t="s">
        <v>265</v>
      </c>
      <c r="C331" s="122"/>
      <c r="D331" s="123" t="s">
        <v>423</v>
      </c>
      <c r="E331" s="123" t="s">
        <v>423</v>
      </c>
      <c r="F331" s="123" t="s">
        <v>423</v>
      </c>
      <c r="G331" s="123" t="s">
        <v>423</v>
      </c>
      <c r="H331" s="123" t="s">
        <v>423</v>
      </c>
      <c r="I331" s="124">
        <f>SUM(I332:I333)</f>
        <v>4168.3999999999996</v>
      </c>
      <c r="J331" s="124">
        <f t="shared" ref="J331:K331" si="154">SUM(J332:J333)</f>
        <v>3405.5</v>
      </c>
      <c r="K331" s="125">
        <f t="shared" si="154"/>
        <v>133</v>
      </c>
      <c r="L331" s="123" t="s">
        <v>423</v>
      </c>
      <c r="M331" s="123" t="s">
        <v>423</v>
      </c>
      <c r="N331" s="126" t="s">
        <v>423</v>
      </c>
      <c r="O331" s="128">
        <v>21513820</v>
      </c>
      <c r="P331" s="128">
        <f t="shared" ref="P331:S331" si="155">SUM(P332:P333)</f>
        <v>0</v>
      </c>
      <c r="Q331" s="128">
        <f t="shared" si="155"/>
        <v>0</v>
      </c>
      <c r="R331" s="128">
        <f t="shared" si="155"/>
        <v>0</v>
      </c>
      <c r="S331" s="128">
        <f t="shared" si="155"/>
        <v>21513820</v>
      </c>
      <c r="T331" s="128">
        <f t="shared" si="147"/>
        <v>5161.1697533825936</v>
      </c>
      <c r="U331" s="128">
        <f>MAX(U332:U333)</f>
        <v>8097.83</v>
      </c>
      <c r="V331" s="129"/>
    </row>
    <row r="332" spans="1:22" ht="35.25" x14ac:dyDescent="0.5">
      <c r="A332">
        <v>1</v>
      </c>
      <c r="B332" s="131">
        <f>SUBTOTAL(9,$A$186:A332)</f>
        <v>124</v>
      </c>
      <c r="C332" s="10" t="s">
        <v>258</v>
      </c>
      <c r="D332" s="123"/>
      <c r="E332" s="123">
        <v>2002</v>
      </c>
      <c r="F332" s="123" t="s">
        <v>420</v>
      </c>
      <c r="G332" s="123">
        <v>3</v>
      </c>
      <c r="H332" s="123" t="s">
        <v>320</v>
      </c>
      <c r="I332" s="124">
        <v>1897.4</v>
      </c>
      <c r="J332" s="124">
        <v>1897.3999999999999</v>
      </c>
      <c r="K332" s="125">
        <v>65</v>
      </c>
      <c r="L332" s="123" t="s">
        <v>418</v>
      </c>
      <c r="M332" s="123" t="s">
        <v>425</v>
      </c>
      <c r="N332" s="126" t="s">
        <v>426</v>
      </c>
      <c r="O332" s="128">
        <v>10000000</v>
      </c>
      <c r="P332" s="128">
        <v>0</v>
      </c>
      <c r="Q332" s="128">
        <v>0</v>
      </c>
      <c r="R332" s="128">
        <v>0</v>
      </c>
      <c r="S332" s="128">
        <f>O332-P332-Q332-R332</f>
        <v>10000000</v>
      </c>
      <c r="T332" s="128">
        <f t="shared" si="147"/>
        <v>5270.3699799725937</v>
      </c>
      <c r="U332" s="128">
        <v>8097.83</v>
      </c>
      <c r="V332" s="129"/>
    </row>
    <row r="333" spans="1:22" ht="35.25" x14ac:dyDescent="0.5">
      <c r="A333">
        <v>1</v>
      </c>
      <c r="B333" s="131">
        <f>SUBTOTAL(9,$A$186:A333)</f>
        <v>125</v>
      </c>
      <c r="C333" s="10" t="s">
        <v>259</v>
      </c>
      <c r="D333" s="123"/>
      <c r="E333" s="123">
        <v>1996</v>
      </c>
      <c r="F333" s="123" t="s">
        <v>420</v>
      </c>
      <c r="G333" s="123">
        <v>3</v>
      </c>
      <c r="H333" s="123" t="s">
        <v>320</v>
      </c>
      <c r="I333" s="124">
        <v>2271</v>
      </c>
      <c r="J333" s="124">
        <v>1508.1</v>
      </c>
      <c r="K333" s="125">
        <v>68</v>
      </c>
      <c r="L333" s="123" t="s">
        <v>418</v>
      </c>
      <c r="M333" s="123" t="s">
        <v>425</v>
      </c>
      <c r="N333" s="126" t="s">
        <v>426</v>
      </c>
      <c r="O333" s="128">
        <v>11513820</v>
      </c>
      <c r="P333" s="128">
        <v>0</v>
      </c>
      <c r="Q333" s="128">
        <v>0</v>
      </c>
      <c r="R333" s="128">
        <v>0</v>
      </c>
      <c r="S333" s="128">
        <f>O333-P333-Q333-R333</f>
        <v>11513820</v>
      </c>
      <c r="T333" s="128">
        <f t="shared" si="147"/>
        <v>5069.9339498018498</v>
      </c>
      <c r="U333" s="128">
        <v>5740.56</v>
      </c>
      <c r="V333" s="129"/>
    </row>
    <row r="334" spans="1:22" ht="35.25" x14ac:dyDescent="0.5">
      <c r="B334" s="122" t="s">
        <v>696</v>
      </c>
      <c r="C334" s="122"/>
      <c r="D334" s="123" t="s">
        <v>423</v>
      </c>
      <c r="E334" s="123" t="s">
        <v>423</v>
      </c>
      <c r="F334" s="123" t="s">
        <v>423</v>
      </c>
      <c r="G334" s="123" t="s">
        <v>423</v>
      </c>
      <c r="H334" s="123" t="s">
        <v>423</v>
      </c>
      <c r="I334" s="124">
        <f>I335</f>
        <v>5142.6000000000004</v>
      </c>
      <c r="J334" s="124">
        <f t="shared" ref="J334:K334" si="156">J335</f>
        <v>4621.5</v>
      </c>
      <c r="K334" s="125">
        <f t="shared" si="156"/>
        <v>191</v>
      </c>
      <c r="L334" s="123" t="s">
        <v>423</v>
      </c>
      <c r="M334" s="123" t="s">
        <v>423</v>
      </c>
      <c r="N334" s="126" t="s">
        <v>423</v>
      </c>
      <c r="O334" s="128">
        <v>20962927.559999999</v>
      </c>
      <c r="P334" s="128">
        <f t="shared" ref="P334:S334" si="157">P335</f>
        <v>0</v>
      </c>
      <c r="Q334" s="128">
        <f t="shared" si="157"/>
        <v>0</v>
      </c>
      <c r="R334" s="128">
        <f t="shared" si="157"/>
        <v>0</v>
      </c>
      <c r="S334" s="128">
        <f t="shared" si="157"/>
        <v>20962927.559999999</v>
      </c>
      <c r="T334" s="128">
        <f t="shared" si="147"/>
        <v>4076.328619764321</v>
      </c>
      <c r="U334" s="128">
        <f>U335</f>
        <v>4391.09</v>
      </c>
      <c r="V334" s="129"/>
    </row>
    <row r="335" spans="1:22" ht="35.25" x14ac:dyDescent="0.5">
      <c r="A335">
        <v>1</v>
      </c>
      <c r="B335" s="131">
        <f>SUBTOTAL(9,$A$186:A335)</f>
        <v>126</v>
      </c>
      <c r="C335" s="10" t="s">
        <v>271</v>
      </c>
      <c r="D335" s="123"/>
      <c r="E335" s="123">
        <v>1993</v>
      </c>
      <c r="F335" s="123" t="s">
        <v>421</v>
      </c>
      <c r="G335" s="123">
        <v>5</v>
      </c>
      <c r="H335" s="123" t="s">
        <v>322</v>
      </c>
      <c r="I335" s="124">
        <v>5142.6000000000004</v>
      </c>
      <c r="J335" s="124">
        <v>4621.5</v>
      </c>
      <c r="K335" s="125">
        <v>191</v>
      </c>
      <c r="L335" s="123" t="s">
        <v>418</v>
      </c>
      <c r="M335" s="123" t="s">
        <v>424</v>
      </c>
      <c r="N335" s="126" t="s">
        <v>465</v>
      </c>
      <c r="O335" s="128">
        <v>20962927.559999999</v>
      </c>
      <c r="P335" s="128">
        <v>0</v>
      </c>
      <c r="Q335" s="128">
        <v>0</v>
      </c>
      <c r="R335" s="128">
        <v>0</v>
      </c>
      <c r="S335" s="128">
        <f>O335-P335-Q335-R335</f>
        <v>20962927.559999999</v>
      </c>
      <c r="T335" s="128">
        <f t="shared" si="147"/>
        <v>4076.328619764321</v>
      </c>
      <c r="U335" s="128">
        <v>4391.09</v>
      </c>
      <c r="V335" s="129"/>
    </row>
    <row r="336" spans="1:22" ht="35.25" x14ac:dyDescent="0.5">
      <c r="A336">
        <v>1</v>
      </c>
      <c r="B336" s="122" t="s">
        <v>518</v>
      </c>
      <c r="C336" s="122"/>
      <c r="D336" s="123" t="s">
        <v>423</v>
      </c>
      <c r="E336" s="123" t="s">
        <v>423</v>
      </c>
      <c r="F336" s="123" t="s">
        <v>423</v>
      </c>
      <c r="G336" s="123" t="s">
        <v>423</v>
      </c>
      <c r="H336" s="123" t="s">
        <v>423</v>
      </c>
      <c r="I336" s="124">
        <f>I337+I365+I371+I385+I397+I411+I415+I417+I419+I422+I425+I427+I435+I439+I448+I450+I456+I460+I462+I468+I475+I477+I479+I481+I483</f>
        <v>352380.31999999995</v>
      </c>
      <c r="J336" s="124">
        <f>J337+J365+J371+J385+J397+J411+J415+J417+J419+J422+J425+J427+J435+J439+J448+J450+J456+J460+J462+J468+J475+J477+J479+J481+J483</f>
        <v>283943.49</v>
      </c>
      <c r="K336" s="125">
        <f>K337+K365+K371+K385+K397+K411+K415+K417+K419+K422+K425+K427+K435+K439+K448+K450+K456+K460+K462+K468+K475+K477+K479+K481+K483</f>
        <v>13563</v>
      </c>
      <c r="L336" s="123" t="s">
        <v>423</v>
      </c>
      <c r="M336" s="123" t="s">
        <v>423</v>
      </c>
      <c r="N336" s="126" t="s">
        <v>423</v>
      </c>
      <c r="O336" s="127">
        <f>O337+O365+O371+O385+O397+O411+O415+O417+O419+O422+O425+O427+O435+O439+O448+O450+O456+O460+O462+O468+O475+O477+O479+O481+O483</f>
        <v>1390821338.6099999</v>
      </c>
      <c r="P336" s="127">
        <f>P337+P365+P371+P385+P397+P411+P415+P417+P419+P422+P425+P427+P435+P439+P448+P450+P456+P460+P462+P468+P475+P477+P479+P481+P483</f>
        <v>0</v>
      </c>
      <c r="Q336" s="127">
        <f>Q337+Q365+Q371+Q385+Q397+Q411+Q415+Q417+Q419+Q422+Q425+Q427+Q435+Q439+Q448+Q450+Q456+Q460+Q462+Q468+Q475+Q477+Q479+Q481+Q483</f>
        <v>0</v>
      </c>
      <c r="R336" s="127">
        <f>R337+R365+R371+R385+R397+R411+R415+R417+R419+R422+R425+R427+R435+R439+R448+R450+R456+R460+R462+R468+R475+R477+R479+R481+R483</f>
        <v>0</v>
      </c>
      <c r="S336" s="127">
        <f>S337+S365+S371+S385+S397+S411+S415+S417+S419+S422+S425+S427+S435+S439+S448+S450+S456+S460+S462+S468+S475+S477+S479+S481+S483</f>
        <v>1390821338.6099999</v>
      </c>
      <c r="T336" s="128">
        <f t="shared" si="2"/>
        <v>3946.932503523466</v>
      </c>
      <c r="U336" s="128">
        <f>MAX(U337:U484)</f>
        <v>24957.11</v>
      </c>
      <c r="V336" s="129"/>
    </row>
    <row r="337" spans="1:22" ht="35.25" x14ac:dyDescent="0.5">
      <c r="B337" s="122" t="s">
        <v>414</v>
      </c>
      <c r="C337" s="130"/>
      <c r="D337" s="123" t="s">
        <v>423</v>
      </c>
      <c r="E337" s="123" t="s">
        <v>423</v>
      </c>
      <c r="F337" s="123" t="s">
        <v>423</v>
      </c>
      <c r="G337" s="123" t="s">
        <v>423</v>
      </c>
      <c r="H337" s="123" t="s">
        <v>423</v>
      </c>
      <c r="I337" s="124">
        <f>SUM(I338:I364)</f>
        <v>113574.21000000002</v>
      </c>
      <c r="J337" s="124">
        <f>SUM(J338:J364)</f>
        <v>92788.949999999983</v>
      </c>
      <c r="K337" s="125">
        <f>SUM(K338:K364)</f>
        <v>4446</v>
      </c>
      <c r="L337" s="123" t="s">
        <v>423</v>
      </c>
      <c r="M337" s="123" t="s">
        <v>423</v>
      </c>
      <c r="N337" s="126" t="s">
        <v>423</v>
      </c>
      <c r="O337" s="128">
        <f>SUM(O338:O364)</f>
        <v>333700934.19999999</v>
      </c>
      <c r="P337" s="128">
        <f t="shared" ref="P337:S337" si="158">SUM(P338:P364)</f>
        <v>0</v>
      </c>
      <c r="Q337" s="128">
        <f t="shared" si="158"/>
        <v>0</v>
      </c>
      <c r="R337" s="128">
        <f t="shared" si="158"/>
        <v>0</v>
      </c>
      <c r="S337" s="128">
        <f t="shared" si="158"/>
        <v>333700934.19999999</v>
      </c>
      <c r="T337" s="128">
        <f t="shared" si="2"/>
        <v>2938.1752617957891</v>
      </c>
      <c r="U337" s="128">
        <f>MAX(U338:U364)</f>
        <v>15760.79</v>
      </c>
      <c r="V337" s="129"/>
    </row>
    <row r="338" spans="1:22" ht="35.25" x14ac:dyDescent="0.5">
      <c r="A338">
        <v>1</v>
      </c>
      <c r="B338" s="131">
        <f>SUBTOTAL(9,$A$338:A338)</f>
        <v>1</v>
      </c>
      <c r="C338" s="10" t="s">
        <v>84</v>
      </c>
      <c r="D338" s="123"/>
      <c r="E338" s="123">
        <v>1973</v>
      </c>
      <c r="F338" s="123" t="s">
        <v>420</v>
      </c>
      <c r="G338" s="123">
        <v>5</v>
      </c>
      <c r="H338" s="123">
        <v>1</v>
      </c>
      <c r="I338" s="124">
        <v>912.4</v>
      </c>
      <c r="J338" s="124">
        <v>550.29999999999995</v>
      </c>
      <c r="K338" s="125">
        <v>21</v>
      </c>
      <c r="L338" s="123" t="s">
        <v>418</v>
      </c>
      <c r="M338" s="123" t="s">
        <v>424</v>
      </c>
      <c r="N338" s="126" t="s">
        <v>441</v>
      </c>
      <c r="O338" s="128">
        <v>2845203.85</v>
      </c>
      <c r="P338" s="128">
        <v>0</v>
      </c>
      <c r="Q338" s="128">
        <v>0</v>
      </c>
      <c r="R338" s="128">
        <v>0</v>
      </c>
      <c r="S338" s="128">
        <f t="shared" si="3"/>
        <v>2845203.85</v>
      </c>
      <c r="T338" s="128">
        <f t="shared" si="2"/>
        <v>3118.3733559842176</v>
      </c>
      <c r="U338" s="128">
        <v>3118.52</v>
      </c>
      <c r="V338" s="129"/>
    </row>
    <row r="339" spans="1:22" ht="35.25" x14ac:dyDescent="0.5">
      <c r="A339">
        <v>1</v>
      </c>
      <c r="B339" s="131">
        <f>SUBTOTAL(9,$A$338:A339)</f>
        <v>2</v>
      </c>
      <c r="C339" s="10" t="s">
        <v>85</v>
      </c>
      <c r="D339" s="123"/>
      <c r="E339" s="123">
        <v>1949</v>
      </c>
      <c r="F339" s="123" t="s">
        <v>420</v>
      </c>
      <c r="G339" s="123">
        <v>2</v>
      </c>
      <c r="H339" s="123">
        <v>2</v>
      </c>
      <c r="I339" s="124">
        <v>940</v>
      </c>
      <c r="J339" s="124">
        <v>872</v>
      </c>
      <c r="K339" s="125">
        <v>31</v>
      </c>
      <c r="L339" s="123" t="s">
        <v>418</v>
      </c>
      <c r="M339" s="123" t="s">
        <v>424</v>
      </c>
      <c r="N339" s="126" t="s">
        <v>441</v>
      </c>
      <c r="O339" s="128">
        <v>10179912.560000001</v>
      </c>
      <c r="P339" s="128">
        <v>0</v>
      </c>
      <c r="Q339" s="128">
        <v>0</v>
      </c>
      <c r="R339" s="128">
        <v>0</v>
      </c>
      <c r="S339" s="128">
        <f t="shared" si="3"/>
        <v>10179912.560000001</v>
      </c>
      <c r="T339" s="128">
        <f t="shared" si="2"/>
        <v>10829.694212765959</v>
      </c>
      <c r="U339" s="128">
        <v>10830.22</v>
      </c>
      <c r="V339" s="129"/>
    </row>
    <row r="340" spans="1:22" ht="35.25" x14ac:dyDescent="0.5">
      <c r="A340">
        <v>1</v>
      </c>
      <c r="B340" s="131">
        <f>SUBTOTAL(9,$A$338:A340)</f>
        <v>3</v>
      </c>
      <c r="C340" s="10" t="s">
        <v>96</v>
      </c>
      <c r="D340" s="123"/>
      <c r="E340" s="123">
        <v>1949</v>
      </c>
      <c r="F340" s="123" t="s">
        <v>420</v>
      </c>
      <c r="G340" s="123">
        <v>2</v>
      </c>
      <c r="H340" s="123">
        <v>2</v>
      </c>
      <c r="I340" s="124">
        <v>875.4</v>
      </c>
      <c r="J340" s="124">
        <v>779.4</v>
      </c>
      <c r="K340" s="125">
        <v>32</v>
      </c>
      <c r="L340" s="123" t="s">
        <v>418</v>
      </c>
      <c r="M340" s="123" t="s">
        <v>424</v>
      </c>
      <c r="N340" s="126" t="s">
        <v>441</v>
      </c>
      <c r="O340" s="128">
        <v>9914029.1199999992</v>
      </c>
      <c r="P340" s="128">
        <v>0</v>
      </c>
      <c r="Q340" s="128">
        <v>0</v>
      </c>
      <c r="R340" s="128">
        <v>0</v>
      </c>
      <c r="S340" s="128">
        <f>O340-P340-Q340-R340</f>
        <v>9914029.1199999992</v>
      </c>
      <c r="T340" s="128">
        <f>O340/I340</f>
        <v>11325.141786611834</v>
      </c>
      <c r="U340" s="128">
        <v>12154.75</v>
      </c>
      <c r="V340" s="129"/>
    </row>
    <row r="341" spans="1:22" ht="35.25" x14ac:dyDescent="0.5">
      <c r="A341">
        <v>1</v>
      </c>
      <c r="B341" s="131">
        <f>SUBTOTAL(9,$A$338:A341)</f>
        <v>4</v>
      </c>
      <c r="C341" s="10" t="s">
        <v>87</v>
      </c>
      <c r="D341" s="123"/>
      <c r="E341" s="123">
        <v>1982</v>
      </c>
      <c r="F341" s="123" t="s">
        <v>421</v>
      </c>
      <c r="G341" s="123">
        <v>9</v>
      </c>
      <c r="H341" s="123">
        <v>4</v>
      </c>
      <c r="I341" s="124">
        <v>9339.7000000000007</v>
      </c>
      <c r="J341" s="124">
        <v>7732.3</v>
      </c>
      <c r="K341" s="125">
        <v>368</v>
      </c>
      <c r="L341" s="123" t="s">
        <v>418</v>
      </c>
      <c r="M341" s="123" t="s">
        <v>424</v>
      </c>
      <c r="N341" s="126" t="s">
        <v>559</v>
      </c>
      <c r="O341" s="128">
        <v>15519264.18</v>
      </c>
      <c r="P341" s="128">
        <v>0</v>
      </c>
      <c r="Q341" s="128">
        <v>0</v>
      </c>
      <c r="R341" s="128">
        <v>0</v>
      </c>
      <c r="S341" s="128">
        <f t="shared" si="3"/>
        <v>15519264.18</v>
      </c>
      <c r="T341" s="128">
        <f t="shared" si="2"/>
        <v>1661.6448258509372</v>
      </c>
      <c r="U341" s="128">
        <v>1661.73</v>
      </c>
      <c r="V341" s="129"/>
    </row>
    <row r="342" spans="1:22" ht="35.25" x14ac:dyDescent="0.5">
      <c r="A342">
        <v>1</v>
      </c>
      <c r="B342" s="131">
        <f>SUBTOTAL(9,$A$338:A342)</f>
        <v>5</v>
      </c>
      <c r="C342" s="10" t="s">
        <v>88</v>
      </c>
      <c r="D342" s="123"/>
      <c r="E342" s="123">
        <v>1991</v>
      </c>
      <c r="F342" s="123" t="s">
        <v>421</v>
      </c>
      <c r="G342" s="123">
        <v>9</v>
      </c>
      <c r="H342" s="123">
        <v>3</v>
      </c>
      <c r="I342" s="124">
        <v>7671.8</v>
      </c>
      <c r="J342" s="124">
        <v>6295.6</v>
      </c>
      <c r="K342" s="125">
        <v>252</v>
      </c>
      <c r="L342" s="123" t="s">
        <v>418</v>
      </c>
      <c r="M342" s="123" t="s">
        <v>424</v>
      </c>
      <c r="N342" s="126" t="s">
        <v>559</v>
      </c>
      <c r="O342" s="128">
        <v>11966100</v>
      </c>
      <c r="P342" s="128">
        <v>0</v>
      </c>
      <c r="Q342" s="128">
        <v>0</v>
      </c>
      <c r="R342" s="128">
        <v>0</v>
      </c>
      <c r="S342" s="128">
        <f t="shared" si="3"/>
        <v>11966100</v>
      </c>
      <c r="T342" s="128">
        <f t="shared" si="2"/>
        <v>1559.7512969576892</v>
      </c>
      <c r="U342" s="128">
        <v>1795.41</v>
      </c>
      <c r="V342" s="129"/>
    </row>
    <row r="343" spans="1:22" ht="35.25" x14ac:dyDescent="0.5">
      <c r="A343">
        <v>1</v>
      </c>
      <c r="B343" s="131">
        <f>SUBTOTAL(9,$A$338:A343)</f>
        <v>6</v>
      </c>
      <c r="C343" s="10" t="s">
        <v>90</v>
      </c>
      <c r="D343" s="123"/>
      <c r="E343" s="123">
        <v>1979</v>
      </c>
      <c r="F343" s="123" t="s">
        <v>420</v>
      </c>
      <c r="G343" s="123">
        <v>5</v>
      </c>
      <c r="H343" s="123">
        <v>12</v>
      </c>
      <c r="I343" s="124">
        <v>14458.6</v>
      </c>
      <c r="J343" s="124">
        <v>10705.28</v>
      </c>
      <c r="K343" s="125">
        <v>470</v>
      </c>
      <c r="L343" s="123" t="s">
        <v>418</v>
      </c>
      <c r="M343" s="123" t="s">
        <v>424</v>
      </c>
      <c r="N343" s="126" t="s">
        <v>558</v>
      </c>
      <c r="O343" s="128">
        <v>30431300</v>
      </c>
      <c r="P343" s="128">
        <v>0</v>
      </c>
      <c r="Q343" s="128">
        <v>0</v>
      </c>
      <c r="R343" s="128">
        <v>0</v>
      </c>
      <c r="S343" s="128">
        <f t="shared" si="3"/>
        <v>30431300</v>
      </c>
      <c r="T343" s="128">
        <f t="shared" si="2"/>
        <v>2104.7196824035523</v>
      </c>
      <c r="U343" s="128">
        <v>2370.15</v>
      </c>
      <c r="V343" s="129"/>
    </row>
    <row r="344" spans="1:22" ht="35.25" x14ac:dyDescent="0.5">
      <c r="A344">
        <v>1</v>
      </c>
      <c r="B344" s="131">
        <f>SUBTOTAL(9,$A$338:A344)</f>
        <v>7</v>
      </c>
      <c r="C344" s="10" t="s">
        <v>91</v>
      </c>
      <c r="D344" s="123"/>
      <c r="E344" s="123">
        <v>1966</v>
      </c>
      <c r="F344" s="123" t="s">
        <v>420</v>
      </c>
      <c r="G344" s="123">
        <v>5</v>
      </c>
      <c r="H344" s="123">
        <v>4</v>
      </c>
      <c r="I344" s="124">
        <v>3844.8</v>
      </c>
      <c r="J344" s="124">
        <v>3145.8</v>
      </c>
      <c r="K344" s="125">
        <v>190</v>
      </c>
      <c r="L344" s="123" t="s">
        <v>418</v>
      </c>
      <c r="M344" s="123" t="s">
        <v>424</v>
      </c>
      <c r="N344" s="126" t="s">
        <v>554</v>
      </c>
      <c r="O344" s="128">
        <v>14280629.119999999</v>
      </c>
      <c r="P344" s="128">
        <v>0</v>
      </c>
      <c r="Q344" s="128">
        <v>0</v>
      </c>
      <c r="R344" s="128">
        <v>0</v>
      </c>
      <c r="S344" s="128">
        <f t="shared" si="3"/>
        <v>14280629.119999999</v>
      </c>
      <c r="T344" s="128">
        <f t="shared" si="2"/>
        <v>3714.2709945900951</v>
      </c>
      <c r="U344" s="128">
        <v>3784.34</v>
      </c>
      <c r="V344" s="129"/>
    </row>
    <row r="345" spans="1:22" ht="35.25" x14ac:dyDescent="0.5">
      <c r="A345">
        <v>1</v>
      </c>
      <c r="B345" s="131">
        <f>SUBTOTAL(9,$A$338:A345)</f>
        <v>8</v>
      </c>
      <c r="C345" s="10" t="s">
        <v>92</v>
      </c>
      <c r="D345" s="123"/>
      <c r="E345" s="123">
        <v>1974</v>
      </c>
      <c r="F345" s="123" t="s">
        <v>420</v>
      </c>
      <c r="G345" s="123">
        <v>2</v>
      </c>
      <c r="H345" s="123">
        <v>2</v>
      </c>
      <c r="I345" s="124">
        <v>796.8</v>
      </c>
      <c r="J345" s="124">
        <v>736.7</v>
      </c>
      <c r="K345" s="125">
        <v>66</v>
      </c>
      <c r="L345" s="123" t="s">
        <v>418</v>
      </c>
      <c r="M345" s="123" t="s">
        <v>424</v>
      </c>
      <c r="N345" s="126" t="s">
        <v>563</v>
      </c>
      <c r="O345" s="128">
        <v>8504911.4100000001</v>
      </c>
      <c r="P345" s="128">
        <v>0</v>
      </c>
      <c r="Q345" s="128">
        <v>0</v>
      </c>
      <c r="R345" s="128">
        <v>0</v>
      </c>
      <c r="S345" s="128">
        <f t="shared" si="3"/>
        <v>8504911.4100000001</v>
      </c>
      <c r="T345" s="128">
        <f t="shared" si="2"/>
        <v>10673.834600903616</v>
      </c>
      <c r="U345" s="128">
        <v>10875.18</v>
      </c>
      <c r="V345" s="129"/>
    </row>
    <row r="346" spans="1:22" ht="35.25" x14ac:dyDescent="0.5">
      <c r="A346">
        <v>1</v>
      </c>
      <c r="B346" s="131">
        <f>SUBTOTAL(9,$A$338:A346)</f>
        <v>9</v>
      </c>
      <c r="C346" s="10" t="s">
        <v>93</v>
      </c>
      <c r="D346" s="123"/>
      <c r="E346" s="123">
        <v>1980</v>
      </c>
      <c r="F346" s="123" t="s">
        <v>420</v>
      </c>
      <c r="G346" s="123">
        <v>4</v>
      </c>
      <c r="H346" s="123" t="s">
        <v>318</v>
      </c>
      <c r="I346" s="124">
        <v>867.5</v>
      </c>
      <c r="J346" s="124">
        <v>765.5</v>
      </c>
      <c r="K346" s="125">
        <v>45</v>
      </c>
      <c r="L346" s="123" t="s">
        <v>418</v>
      </c>
      <c r="M346" s="123" t="s">
        <v>424</v>
      </c>
      <c r="N346" s="126" t="s">
        <v>563</v>
      </c>
      <c r="O346" s="128">
        <v>4747522.0799999991</v>
      </c>
      <c r="P346" s="128">
        <v>0</v>
      </c>
      <c r="Q346" s="128">
        <v>0</v>
      </c>
      <c r="R346" s="128">
        <v>0</v>
      </c>
      <c r="S346" s="128">
        <f t="shared" si="3"/>
        <v>4747522.0799999991</v>
      </c>
      <c r="T346" s="128">
        <f t="shared" si="2"/>
        <v>5472.6479308357339</v>
      </c>
      <c r="U346" s="128">
        <v>5575.88</v>
      </c>
      <c r="V346" s="129"/>
    </row>
    <row r="347" spans="1:22" ht="35.25" x14ac:dyDescent="0.5">
      <c r="A347">
        <v>1</v>
      </c>
      <c r="B347" s="131">
        <f>SUBTOTAL(9,$A$338:A347)</f>
        <v>10</v>
      </c>
      <c r="C347" s="10" t="s">
        <v>95</v>
      </c>
      <c r="D347" s="123"/>
      <c r="E347" s="123">
        <v>1986</v>
      </c>
      <c r="F347" s="123" t="s">
        <v>420</v>
      </c>
      <c r="G347" s="123">
        <v>5</v>
      </c>
      <c r="H347" s="123">
        <v>3</v>
      </c>
      <c r="I347" s="124">
        <v>3458.6</v>
      </c>
      <c r="J347" s="124">
        <v>3220.2</v>
      </c>
      <c r="K347" s="125">
        <v>153</v>
      </c>
      <c r="L347" s="123" t="s">
        <v>418</v>
      </c>
      <c r="M347" s="123" t="s">
        <v>424</v>
      </c>
      <c r="N347" s="126" t="s">
        <v>563</v>
      </c>
      <c r="O347" s="128">
        <v>12219407.199999999</v>
      </c>
      <c r="P347" s="128">
        <v>0</v>
      </c>
      <c r="Q347" s="128">
        <v>0</v>
      </c>
      <c r="R347" s="128">
        <v>0</v>
      </c>
      <c r="S347" s="128">
        <f t="shared" si="3"/>
        <v>12219407.199999999</v>
      </c>
      <c r="T347" s="128">
        <f t="shared" si="2"/>
        <v>3533.050135893136</v>
      </c>
      <c r="U347" s="128">
        <v>4113.42</v>
      </c>
      <c r="V347" s="129"/>
    </row>
    <row r="348" spans="1:22" ht="35.25" x14ac:dyDescent="0.5">
      <c r="A348">
        <v>1</v>
      </c>
      <c r="B348" s="131">
        <f>SUBTOTAL(9,$A$338:A348)</f>
        <v>11</v>
      </c>
      <c r="C348" s="10" t="s">
        <v>98</v>
      </c>
      <c r="D348" s="123"/>
      <c r="E348" s="123">
        <v>1961</v>
      </c>
      <c r="F348" s="123" t="s">
        <v>420</v>
      </c>
      <c r="G348" s="123">
        <v>4</v>
      </c>
      <c r="H348" s="123">
        <v>3</v>
      </c>
      <c r="I348" s="124">
        <v>2885.3</v>
      </c>
      <c r="J348" s="124">
        <v>2012.3</v>
      </c>
      <c r="K348" s="125">
        <v>125</v>
      </c>
      <c r="L348" s="123" t="s">
        <v>418</v>
      </c>
      <c r="M348" s="123" t="s">
        <v>424</v>
      </c>
      <c r="N348" s="126" t="s">
        <v>554</v>
      </c>
      <c r="O348" s="128">
        <v>11589525.949999999</v>
      </c>
      <c r="P348" s="128">
        <v>0</v>
      </c>
      <c r="Q348" s="128">
        <v>0</v>
      </c>
      <c r="R348" s="128">
        <v>0</v>
      </c>
      <c r="S348" s="128">
        <f t="shared" ref="S348:S384" si="159">O348-P348-Q348-R348</f>
        <v>11589525.949999999</v>
      </c>
      <c r="T348" s="128">
        <f t="shared" ref="T348:T384" si="160">O348/I348</f>
        <v>4016.7490208990394</v>
      </c>
      <c r="U348" s="128">
        <v>4092.52</v>
      </c>
      <c r="V348" s="129"/>
    </row>
    <row r="349" spans="1:22" ht="35.25" x14ac:dyDescent="0.5">
      <c r="A349">
        <v>1</v>
      </c>
      <c r="B349" s="131">
        <f>SUBTOTAL(9,$A$338:A349)</f>
        <v>12</v>
      </c>
      <c r="C349" s="10" t="s">
        <v>99</v>
      </c>
      <c r="D349" s="123"/>
      <c r="E349" s="123">
        <v>1959</v>
      </c>
      <c r="F349" s="123" t="s">
        <v>420</v>
      </c>
      <c r="G349" s="123">
        <v>3</v>
      </c>
      <c r="H349" s="123">
        <v>3</v>
      </c>
      <c r="I349" s="124">
        <v>1812.5</v>
      </c>
      <c r="J349" s="124">
        <v>1681.3</v>
      </c>
      <c r="K349" s="125">
        <v>59</v>
      </c>
      <c r="L349" s="123" t="s">
        <v>418</v>
      </c>
      <c r="M349" s="123" t="s">
        <v>424</v>
      </c>
      <c r="N349" s="126" t="s">
        <v>550</v>
      </c>
      <c r="O349" s="128">
        <v>22308077.829999998</v>
      </c>
      <c r="P349" s="128">
        <v>0</v>
      </c>
      <c r="Q349" s="128">
        <v>0</v>
      </c>
      <c r="R349" s="128">
        <v>0</v>
      </c>
      <c r="S349" s="128">
        <f t="shared" si="159"/>
        <v>22308077.829999998</v>
      </c>
      <c r="T349" s="128">
        <f t="shared" si="160"/>
        <v>12307.905009655171</v>
      </c>
      <c r="U349" s="128">
        <v>12308.51</v>
      </c>
      <c r="V349" s="129"/>
    </row>
    <row r="350" spans="1:22" ht="35.25" x14ac:dyDescent="0.5">
      <c r="A350">
        <v>1</v>
      </c>
      <c r="B350" s="131">
        <f>SUBTOTAL(9,$A$338:A350)</f>
        <v>13</v>
      </c>
      <c r="C350" s="10" t="s">
        <v>100</v>
      </c>
      <c r="D350" s="123"/>
      <c r="E350" s="123">
        <v>1960</v>
      </c>
      <c r="F350" s="123" t="s">
        <v>420</v>
      </c>
      <c r="G350" s="123">
        <v>5</v>
      </c>
      <c r="H350" s="123">
        <v>4</v>
      </c>
      <c r="I350" s="124">
        <v>4103.3</v>
      </c>
      <c r="J350" s="124">
        <v>3194</v>
      </c>
      <c r="K350" s="125">
        <v>142</v>
      </c>
      <c r="L350" s="123" t="s">
        <v>418</v>
      </c>
      <c r="M350" s="123" t="s">
        <v>424</v>
      </c>
      <c r="N350" s="126" t="s">
        <v>586</v>
      </c>
      <c r="O350" s="128">
        <v>22070732.829999998</v>
      </c>
      <c r="P350" s="128">
        <v>0</v>
      </c>
      <c r="Q350" s="128">
        <v>0</v>
      </c>
      <c r="R350" s="128">
        <v>0</v>
      </c>
      <c r="S350" s="128">
        <f t="shared" si="159"/>
        <v>22070732.829999998</v>
      </c>
      <c r="T350" s="128">
        <f t="shared" si="160"/>
        <v>5378.7763093120166</v>
      </c>
      <c r="U350" s="128">
        <v>5803.15</v>
      </c>
      <c r="V350" s="129"/>
    </row>
    <row r="351" spans="1:22" ht="35.25" x14ac:dyDescent="0.5">
      <c r="A351">
        <v>1</v>
      </c>
      <c r="B351" s="131">
        <f>SUBTOTAL(9,$A$338:A351)</f>
        <v>14</v>
      </c>
      <c r="C351" s="10" t="s">
        <v>101</v>
      </c>
      <c r="D351" s="123"/>
      <c r="E351" s="123">
        <v>1987</v>
      </c>
      <c r="F351" s="123" t="s">
        <v>421</v>
      </c>
      <c r="G351" s="123">
        <v>9</v>
      </c>
      <c r="H351" s="123">
        <v>6</v>
      </c>
      <c r="I351" s="124">
        <v>12823.6</v>
      </c>
      <c r="J351" s="124">
        <v>11362.5</v>
      </c>
      <c r="K351" s="125">
        <v>636</v>
      </c>
      <c r="L351" s="123" t="s">
        <v>418</v>
      </c>
      <c r="M351" s="123" t="s">
        <v>424</v>
      </c>
      <c r="N351" s="126" t="s">
        <v>554</v>
      </c>
      <c r="O351" s="128">
        <v>23860864.310000002</v>
      </c>
      <c r="P351" s="128">
        <v>0</v>
      </c>
      <c r="Q351" s="128">
        <v>0</v>
      </c>
      <c r="R351" s="128">
        <v>0</v>
      </c>
      <c r="S351" s="128">
        <f t="shared" si="159"/>
        <v>23860864.310000002</v>
      </c>
      <c r="T351" s="128">
        <f t="shared" si="160"/>
        <v>1860.6993597741666</v>
      </c>
      <c r="U351" s="128">
        <v>1860.79</v>
      </c>
      <c r="V351" s="129"/>
    </row>
    <row r="352" spans="1:22" ht="35.25" x14ac:dyDescent="0.5">
      <c r="A352">
        <v>1</v>
      </c>
      <c r="B352" s="131">
        <f>SUBTOTAL(9,$A$338:A352)</f>
        <v>15</v>
      </c>
      <c r="C352" s="10" t="s">
        <v>102</v>
      </c>
      <c r="D352" s="123"/>
      <c r="E352" s="123">
        <v>1969</v>
      </c>
      <c r="F352" s="123" t="s">
        <v>420</v>
      </c>
      <c r="G352" s="123">
        <v>5</v>
      </c>
      <c r="H352" s="123">
        <v>1</v>
      </c>
      <c r="I352" s="124">
        <v>2168.6</v>
      </c>
      <c r="J352" s="124">
        <v>1315.6</v>
      </c>
      <c r="K352" s="125">
        <v>157</v>
      </c>
      <c r="L352" s="123" t="s">
        <v>418</v>
      </c>
      <c r="M352" s="123" t="s">
        <v>424</v>
      </c>
      <c r="N352" s="126" t="s">
        <v>586</v>
      </c>
      <c r="O352" s="128">
        <v>8703714.9299999997</v>
      </c>
      <c r="P352" s="128">
        <v>0</v>
      </c>
      <c r="Q352" s="128">
        <v>0</v>
      </c>
      <c r="R352" s="128">
        <v>0</v>
      </c>
      <c r="S352" s="128">
        <f t="shared" si="159"/>
        <v>8703714.9299999997</v>
      </c>
      <c r="T352" s="128">
        <f t="shared" si="160"/>
        <v>4013.5179055611916</v>
      </c>
      <c r="U352" s="128">
        <v>4472.9399999999996</v>
      </c>
      <c r="V352" s="129"/>
    </row>
    <row r="353" spans="1:22" ht="35.25" x14ac:dyDescent="0.5">
      <c r="A353">
        <v>1</v>
      </c>
      <c r="B353" s="131">
        <f>SUBTOTAL(9,$A$338:A353)</f>
        <v>16</v>
      </c>
      <c r="C353" s="10" t="s">
        <v>103</v>
      </c>
      <c r="D353" s="123"/>
      <c r="E353" s="123">
        <v>1989</v>
      </c>
      <c r="F353" s="123" t="s">
        <v>421</v>
      </c>
      <c r="G353" s="123">
        <v>9</v>
      </c>
      <c r="H353" s="123">
        <v>2</v>
      </c>
      <c r="I353" s="124">
        <v>4302.5</v>
      </c>
      <c r="J353" s="124">
        <v>3827.7</v>
      </c>
      <c r="K353" s="125">
        <v>187</v>
      </c>
      <c r="L353" s="123" t="s">
        <v>418</v>
      </c>
      <c r="M353" s="123" t="s">
        <v>424</v>
      </c>
      <c r="N353" s="126" t="s">
        <v>554</v>
      </c>
      <c r="O353" s="128">
        <v>7620148.7599999998</v>
      </c>
      <c r="P353" s="128">
        <v>0</v>
      </c>
      <c r="Q353" s="128">
        <v>0</v>
      </c>
      <c r="R353" s="128">
        <v>0</v>
      </c>
      <c r="S353" s="128">
        <f t="shared" si="159"/>
        <v>7620148.7599999998</v>
      </c>
      <c r="T353" s="128">
        <f t="shared" si="160"/>
        <v>1771.0979105171411</v>
      </c>
      <c r="U353" s="128">
        <v>1804.51</v>
      </c>
      <c r="V353" s="129"/>
    </row>
    <row r="354" spans="1:22" ht="35.25" x14ac:dyDescent="0.5">
      <c r="A354">
        <v>1</v>
      </c>
      <c r="B354" s="131">
        <f>SUBTOTAL(9,$A$338:A354)</f>
        <v>17</v>
      </c>
      <c r="C354" s="10" t="s">
        <v>104</v>
      </c>
      <c r="D354" s="123"/>
      <c r="E354" s="123">
        <v>1963</v>
      </c>
      <c r="F354" s="123" t="s">
        <v>421</v>
      </c>
      <c r="G354" s="123">
        <v>5</v>
      </c>
      <c r="H354" s="123">
        <v>4</v>
      </c>
      <c r="I354" s="124">
        <v>3881.3</v>
      </c>
      <c r="J354" s="124">
        <v>3552.1</v>
      </c>
      <c r="K354" s="125">
        <v>208</v>
      </c>
      <c r="L354" s="123" t="s">
        <v>418</v>
      </c>
      <c r="M354" s="123" t="s">
        <v>424</v>
      </c>
      <c r="N354" s="126" t="s">
        <v>561</v>
      </c>
      <c r="O354" s="128">
        <v>13126711.630000001</v>
      </c>
      <c r="P354" s="128">
        <v>0</v>
      </c>
      <c r="Q354" s="128">
        <v>0</v>
      </c>
      <c r="R354" s="128">
        <v>0</v>
      </c>
      <c r="S354" s="128">
        <f t="shared" si="159"/>
        <v>13126711.630000001</v>
      </c>
      <c r="T354" s="128">
        <f t="shared" si="160"/>
        <v>3382.0399428026694</v>
      </c>
      <c r="U354" s="128">
        <v>3382.2</v>
      </c>
      <c r="V354" s="129"/>
    </row>
    <row r="355" spans="1:22" ht="35.25" x14ac:dyDescent="0.5">
      <c r="A355">
        <v>1</v>
      </c>
      <c r="B355" s="131">
        <f>SUBTOTAL(9,$A$338:A355)</f>
        <v>18</v>
      </c>
      <c r="C355" s="10" t="s">
        <v>106</v>
      </c>
      <c r="D355" s="123"/>
      <c r="E355" s="123">
        <v>1956</v>
      </c>
      <c r="F355" s="123" t="s">
        <v>420</v>
      </c>
      <c r="G355" s="123">
        <v>2</v>
      </c>
      <c r="H355" s="123">
        <v>1</v>
      </c>
      <c r="I355" s="124">
        <v>432.9</v>
      </c>
      <c r="J355" s="124">
        <v>383</v>
      </c>
      <c r="K355" s="125">
        <v>21</v>
      </c>
      <c r="L355" s="123" t="s">
        <v>418</v>
      </c>
      <c r="M355" s="123" t="s">
        <v>424</v>
      </c>
      <c r="N355" s="126" t="s">
        <v>441</v>
      </c>
      <c r="O355" s="128">
        <v>6822519.6299999999</v>
      </c>
      <c r="P355" s="128">
        <v>0</v>
      </c>
      <c r="Q355" s="128">
        <v>0</v>
      </c>
      <c r="R355" s="128">
        <v>0</v>
      </c>
      <c r="S355" s="128">
        <f t="shared" si="159"/>
        <v>6822519.6299999999</v>
      </c>
      <c r="T355" s="128">
        <f t="shared" si="160"/>
        <v>15760.036105336107</v>
      </c>
      <c r="U355" s="128">
        <v>15760.79</v>
      </c>
      <c r="V355" s="129"/>
    </row>
    <row r="356" spans="1:22" ht="35.25" x14ac:dyDescent="0.5">
      <c r="A356">
        <v>1</v>
      </c>
      <c r="B356" s="131">
        <f>SUBTOTAL(9,$A$338:A356)</f>
        <v>19</v>
      </c>
      <c r="C356" s="10" t="s">
        <v>107</v>
      </c>
      <c r="D356" s="123"/>
      <c r="E356" s="123">
        <v>1973</v>
      </c>
      <c r="F356" s="123" t="s">
        <v>420</v>
      </c>
      <c r="G356" s="123">
        <v>5</v>
      </c>
      <c r="H356" s="123">
        <v>6</v>
      </c>
      <c r="I356" s="124">
        <v>5300</v>
      </c>
      <c r="J356" s="124">
        <v>4737.7</v>
      </c>
      <c r="K356" s="125">
        <v>244</v>
      </c>
      <c r="L356" s="123" t="s">
        <v>418</v>
      </c>
      <c r="M356" s="123" t="s">
        <v>424</v>
      </c>
      <c r="N356" s="126" t="s">
        <v>559</v>
      </c>
      <c r="O356" s="128">
        <v>18105806.390000001</v>
      </c>
      <c r="P356" s="128">
        <v>0</v>
      </c>
      <c r="Q356" s="128">
        <v>0</v>
      </c>
      <c r="R356" s="128">
        <v>0</v>
      </c>
      <c r="S356" s="128">
        <f t="shared" si="159"/>
        <v>18105806.390000001</v>
      </c>
      <c r="T356" s="128">
        <f t="shared" si="160"/>
        <v>3416.1898849056606</v>
      </c>
      <c r="U356" s="128">
        <v>3416.36</v>
      </c>
      <c r="V356" s="129"/>
    </row>
    <row r="357" spans="1:22" ht="35.25" x14ac:dyDescent="0.5">
      <c r="A357">
        <v>1</v>
      </c>
      <c r="B357" s="131">
        <f>SUBTOTAL(9,$A$338:A357)</f>
        <v>20</v>
      </c>
      <c r="C357" s="10" t="s">
        <v>108</v>
      </c>
      <c r="D357" s="123"/>
      <c r="E357" s="123">
        <v>1988</v>
      </c>
      <c r="F357" s="123" t="s">
        <v>420</v>
      </c>
      <c r="G357" s="123">
        <v>9</v>
      </c>
      <c r="H357" s="123">
        <v>3</v>
      </c>
      <c r="I357" s="124">
        <v>7536</v>
      </c>
      <c r="J357" s="124">
        <v>5697</v>
      </c>
      <c r="K357" s="125">
        <v>248</v>
      </c>
      <c r="L357" s="123" t="s">
        <v>418</v>
      </c>
      <c r="M357" s="123" t="s">
        <v>424</v>
      </c>
      <c r="N357" s="126" t="s">
        <v>567</v>
      </c>
      <c r="O357" s="128">
        <v>16051700</v>
      </c>
      <c r="P357" s="128">
        <v>0</v>
      </c>
      <c r="Q357" s="128">
        <v>0</v>
      </c>
      <c r="R357" s="128">
        <v>0</v>
      </c>
      <c r="S357" s="128">
        <f t="shared" si="159"/>
        <v>16051700</v>
      </c>
      <c r="T357" s="128">
        <f t="shared" si="160"/>
        <v>2130.0026539278133</v>
      </c>
      <c r="U357" s="128">
        <v>2378.67</v>
      </c>
      <c r="V357" s="129"/>
    </row>
    <row r="358" spans="1:22" ht="35.25" x14ac:dyDescent="0.5">
      <c r="A358">
        <v>1</v>
      </c>
      <c r="B358" s="131">
        <f>SUBTOTAL(9,$A$338:A358)</f>
        <v>21</v>
      </c>
      <c r="C358" s="10" t="s">
        <v>109</v>
      </c>
      <c r="D358" s="123"/>
      <c r="E358" s="123">
        <v>1947</v>
      </c>
      <c r="F358" s="123" t="s">
        <v>420</v>
      </c>
      <c r="G358" s="123">
        <v>4</v>
      </c>
      <c r="H358" s="123">
        <v>2</v>
      </c>
      <c r="I358" s="124">
        <v>2381.3000000000002</v>
      </c>
      <c r="J358" s="124">
        <v>2099.9</v>
      </c>
      <c r="K358" s="125">
        <v>145</v>
      </c>
      <c r="L358" s="123" t="s">
        <v>418</v>
      </c>
      <c r="M358" s="123" t="s">
        <v>424</v>
      </c>
      <c r="N358" s="126" t="s">
        <v>550</v>
      </c>
      <c r="O358" s="128">
        <v>11462586.619999999</v>
      </c>
      <c r="P358" s="128">
        <v>0</v>
      </c>
      <c r="Q358" s="128">
        <v>0</v>
      </c>
      <c r="R358" s="128">
        <v>0</v>
      </c>
      <c r="S358" s="128">
        <f t="shared" si="159"/>
        <v>11462586.619999999</v>
      </c>
      <c r="T358" s="128">
        <f t="shared" si="160"/>
        <v>4813.583597194809</v>
      </c>
      <c r="U358" s="128">
        <v>4904.3900000000003</v>
      </c>
      <c r="V358" s="129"/>
    </row>
    <row r="359" spans="1:22" ht="35.25" x14ac:dyDescent="0.5">
      <c r="A359">
        <v>1</v>
      </c>
      <c r="B359" s="131">
        <f>SUBTOTAL(9,$A$338:A359)</f>
        <v>22</v>
      </c>
      <c r="C359" s="10" t="s">
        <v>110</v>
      </c>
      <c r="D359" s="123"/>
      <c r="E359" s="123">
        <v>1977</v>
      </c>
      <c r="F359" s="123" t="s">
        <v>420</v>
      </c>
      <c r="G359" s="123">
        <v>2</v>
      </c>
      <c r="H359" s="123">
        <v>2</v>
      </c>
      <c r="I359" s="124">
        <v>782</v>
      </c>
      <c r="J359" s="124">
        <v>448.2</v>
      </c>
      <c r="K359" s="125">
        <v>37</v>
      </c>
      <c r="L359" s="123" t="s">
        <v>418</v>
      </c>
      <c r="M359" s="123" t="s">
        <v>424</v>
      </c>
      <c r="N359" s="126" t="s">
        <v>566</v>
      </c>
      <c r="O359" s="128">
        <v>8504911.3800000008</v>
      </c>
      <c r="P359" s="128">
        <v>0</v>
      </c>
      <c r="Q359" s="128">
        <v>0</v>
      </c>
      <c r="R359" s="128">
        <v>0</v>
      </c>
      <c r="S359" s="128">
        <f t="shared" si="159"/>
        <v>8504911.3800000008</v>
      </c>
      <c r="T359" s="128">
        <f t="shared" si="160"/>
        <v>10875.845754475704</v>
      </c>
      <c r="U359" s="128">
        <v>11081</v>
      </c>
      <c r="V359" s="129"/>
    </row>
    <row r="360" spans="1:22" ht="35.25" x14ac:dyDescent="0.5">
      <c r="A360">
        <v>1</v>
      </c>
      <c r="B360" s="131">
        <f>SUBTOTAL(9,$A$338:A360)</f>
        <v>23</v>
      </c>
      <c r="C360" s="10" t="s">
        <v>111</v>
      </c>
      <c r="D360" s="123"/>
      <c r="E360" s="123">
        <v>1964</v>
      </c>
      <c r="F360" s="123" t="s">
        <v>420</v>
      </c>
      <c r="G360" s="123">
        <v>3</v>
      </c>
      <c r="H360" s="123">
        <v>1</v>
      </c>
      <c r="I360" s="124">
        <v>902.1</v>
      </c>
      <c r="J360" s="124">
        <v>830.3</v>
      </c>
      <c r="K360" s="125">
        <v>62</v>
      </c>
      <c r="L360" s="123" t="s">
        <v>418</v>
      </c>
      <c r="M360" s="123" t="s">
        <v>424</v>
      </c>
      <c r="N360" s="126" t="s">
        <v>586</v>
      </c>
      <c r="O360" s="128">
        <v>6473890.1600000001</v>
      </c>
      <c r="P360" s="128">
        <v>0</v>
      </c>
      <c r="Q360" s="128">
        <v>0</v>
      </c>
      <c r="R360" s="128">
        <v>0</v>
      </c>
      <c r="S360" s="128">
        <f t="shared" si="159"/>
        <v>6473890.1600000001</v>
      </c>
      <c r="T360" s="128">
        <f t="shared" si="160"/>
        <v>7176.466201086354</v>
      </c>
      <c r="U360" s="128">
        <v>7311.84</v>
      </c>
      <c r="V360" s="129"/>
    </row>
    <row r="361" spans="1:22" ht="35.25" x14ac:dyDescent="0.5">
      <c r="A361">
        <v>1</v>
      </c>
      <c r="B361" s="131">
        <f>SUBTOTAL(9,$A$338:A361)</f>
        <v>24</v>
      </c>
      <c r="C361" s="10" t="s">
        <v>112</v>
      </c>
      <c r="D361" s="123"/>
      <c r="E361" s="123">
        <v>1971</v>
      </c>
      <c r="F361" s="123" t="s">
        <v>420</v>
      </c>
      <c r="G361" s="123">
        <v>5</v>
      </c>
      <c r="H361" s="123">
        <v>4</v>
      </c>
      <c r="I361" s="124">
        <v>4412.3999999999996</v>
      </c>
      <c r="J361" s="124">
        <v>3394.76</v>
      </c>
      <c r="K361" s="125">
        <v>221</v>
      </c>
      <c r="L361" s="123" t="s">
        <v>418</v>
      </c>
      <c r="M361" s="123" t="s">
        <v>424</v>
      </c>
      <c r="N361" s="126" t="s">
        <v>586</v>
      </c>
      <c r="O361" s="128">
        <v>14318710.76</v>
      </c>
      <c r="P361" s="128">
        <v>0</v>
      </c>
      <c r="Q361" s="128">
        <v>0</v>
      </c>
      <c r="R361" s="128">
        <v>0</v>
      </c>
      <c r="S361" s="128">
        <f t="shared" si="159"/>
        <v>14318710.76</v>
      </c>
      <c r="T361" s="128">
        <f t="shared" si="160"/>
        <v>3245.1071435046688</v>
      </c>
      <c r="U361" s="128">
        <v>3306.32</v>
      </c>
      <c r="V361" s="129"/>
    </row>
    <row r="362" spans="1:22" ht="35.25" x14ac:dyDescent="0.5">
      <c r="A362">
        <v>1</v>
      </c>
      <c r="B362" s="131">
        <f>SUBTOTAL(9,$A$338:A362)</f>
        <v>25</v>
      </c>
      <c r="C362" s="10" t="s">
        <v>681</v>
      </c>
      <c r="D362" s="123"/>
      <c r="E362" s="123">
        <v>1972</v>
      </c>
      <c r="F362" s="123" t="s">
        <v>420</v>
      </c>
      <c r="G362" s="123">
        <v>9</v>
      </c>
      <c r="H362" s="123">
        <v>1</v>
      </c>
      <c r="I362" s="124">
        <v>2758.61</v>
      </c>
      <c r="J362" s="124">
        <v>2260.71</v>
      </c>
      <c r="K362" s="125">
        <v>89</v>
      </c>
      <c r="L362" s="123" t="s">
        <v>418</v>
      </c>
      <c r="M362" s="123" t="s">
        <v>424</v>
      </c>
      <c r="N362" s="126" t="s">
        <v>561</v>
      </c>
      <c r="O362" s="128">
        <v>4163281.5</v>
      </c>
      <c r="P362" s="128">
        <v>0</v>
      </c>
      <c r="Q362" s="128">
        <v>0</v>
      </c>
      <c r="R362" s="128">
        <v>0</v>
      </c>
      <c r="S362" s="128">
        <f t="shared" ref="S362:S364" si="161">O362-P362-Q362-R362</f>
        <v>4163281.5</v>
      </c>
      <c r="T362" s="128">
        <f t="shared" si="160"/>
        <v>1509.1953918821434</v>
      </c>
      <c r="U362" s="128">
        <f>T362</f>
        <v>1509.1953918821434</v>
      </c>
      <c r="V362" s="129"/>
    </row>
    <row r="363" spans="1:22" ht="35.25" x14ac:dyDescent="0.5">
      <c r="A363">
        <v>1</v>
      </c>
      <c r="B363" s="131">
        <f>SUBTOTAL(9,$A$338:A363)</f>
        <v>26</v>
      </c>
      <c r="C363" s="10" t="s">
        <v>682</v>
      </c>
      <c r="D363" s="123"/>
      <c r="E363" s="123">
        <v>2003</v>
      </c>
      <c r="F363" s="123" t="s">
        <v>420</v>
      </c>
      <c r="G363" s="123">
        <v>14</v>
      </c>
      <c r="H363" s="123">
        <v>1</v>
      </c>
      <c r="I363" s="124">
        <v>6883.6</v>
      </c>
      <c r="J363" s="124">
        <v>5157.3999999999996</v>
      </c>
      <c r="K363" s="125">
        <v>117</v>
      </c>
      <c r="L363" s="123" t="s">
        <v>418</v>
      </c>
      <c r="M363" s="123" t="s">
        <v>424</v>
      </c>
      <c r="N363" s="126" t="s">
        <v>554</v>
      </c>
      <c r="O363" s="128">
        <v>9517347</v>
      </c>
      <c r="P363" s="128">
        <v>0</v>
      </c>
      <c r="Q363" s="128">
        <v>0</v>
      </c>
      <c r="R363" s="128">
        <v>0</v>
      </c>
      <c r="S363" s="128">
        <f t="shared" si="161"/>
        <v>9517347</v>
      </c>
      <c r="T363" s="128">
        <f t="shared" si="160"/>
        <v>1382.6118600732175</v>
      </c>
      <c r="U363" s="128">
        <f t="shared" ref="U363:U364" si="162">T363</f>
        <v>1382.6118600732175</v>
      </c>
      <c r="V363" s="129"/>
    </row>
    <row r="364" spans="1:22" ht="35.25" x14ac:dyDescent="0.5">
      <c r="A364">
        <v>1</v>
      </c>
      <c r="B364" s="131">
        <f>SUBTOTAL(9,$A$338:A364)</f>
        <v>27</v>
      </c>
      <c r="C364" s="10" t="s">
        <v>72</v>
      </c>
      <c r="D364" s="123"/>
      <c r="E364" s="123">
        <v>2000</v>
      </c>
      <c r="F364" s="123" t="s">
        <v>420</v>
      </c>
      <c r="G364" s="123">
        <v>10</v>
      </c>
      <c r="H364" s="123">
        <v>3</v>
      </c>
      <c r="I364" s="124">
        <v>7042.6</v>
      </c>
      <c r="J364" s="124">
        <v>6031.4</v>
      </c>
      <c r="K364" s="125">
        <v>120</v>
      </c>
      <c r="L364" s="123" t="s">
        <v>418</v>
      </c>
      <c r="M364" s="123" t="s">
        <v>424</v>
      </c>
      <c r="N364" s="126" t="s">
        <v>564</v>
      </c>
      <c r="O364" s="128">
        <v>8392125</v>
      </c>
      <c r="P364" s="128">
        <v>0</v>
      </c>
      <c r="Q364" s="128">
        <v>0</v>
      </c>
      <c r="R364" s="128">
        <v>0</v>
      </c>
      <c r="S364" s="128">
        <f t="shared" si="161"/>
        <v>8392125</v>
      </c>
      <c r="T364" s="128">
        <f t="shared" si="160"/>
        <v>1191.6231221423905</v>
      </c>
      <c r="U364" s="128">
        <f t="shared" si="162"/>
        <v>1191.6231221423905</v>
      </c>
      <c r="V364" s="129"/>
    </row>
    <row r="365" spans="1:22" ht="35.25" x14ac:dyDescent="0.5">
      <c r="B365" s="122" t="s">
        <v>417</v>
      </c>
      <c r="C365" s="130"/>
      <c r="D365" s="123" t="s">
        <v>423</v>
      </c>
      <c r="E365" s="123" t="s">
        <v>423</v>
      </c>
      <c r="F365" s="123" t="s">
        <v>423</v>
      </c>
      <c r="G365" s="123" t="s">
        <v>423</v>
      </c>
      <c r="H365" s="123" t="s">
        <v>423</v>
      </c>
      <c r="I365" s="124">
        <f>SUM(I366:I370)</f>
        <v>12137.9</v>
      </c>
      <c r="J365" s="124">
        <f t="shared" ref="J365:K365" si="163">SUM(J366:J370)</f>
        <v>11134.199999999999</v>
      </c>
      <c r="K365" s="125">
        <f t="shared" si="163"/>
        <v>575</v>
      </c>
      <c r="L365" s="123" t="s">
        <v>423</v>
      </c>
      <c r="M365" s="123" t="s">
        <v>423</v>
      </c>
      <c r="N365" s="126" t="s">
        <v>423</v>
      </c>
      <c r="O365" s="128">
        <v>60223102.890000001</v>
      </c>
      <c r="P365" s="128">
        <f t="shared" ref="P365:S365" si="164">SUM(P366:P370)</f>
        <v>0</v>
      </c>
      <c r="Q365" s="128">
        <f t="shared" si="164"/>
        <v>0</v>
      </c>
      <c r="R365" s="128">
        <f t="shared" si="164"/>
        <v>0</v>
      </c>
      <c r="S365" s="128">
        <f t="shared" si="164"/>
        <v>60223102.890000001</v>
      </c>
      <c r="T365" s="128">
        <f t="shared" ref="T365:T370" si="165">O365/I365</f>
        <v>4961.5751398512102</v>
      </c>
      <c r="U365" s="128">
        <f>MAX(U366:U370)</f>
        <v>11803.94</v>
      </c>
      <c r="V365" s="129"/>
    </row>
    <row r="366" spans="1:22" ht="35.25" x14ac:dyDescent="0.5">
      <c r="A366">
        <v>1</v>
      </c>
      <c r="B366" s="131">
        <f>SUBTOTAL(9,$A$338:A366)</f>
        <v>28</v>
      </c>
      <c r="C366" s="10" t="s">
        <v>164</v>
      </c>
      <c r="D366" s="123"/>
      <c r="E366" s="123">
        <v>1967</v>
      </c>
      <c r="F366" s="123" t="s">
        <v>420</v>
      </c>
      <c r="G366" s="123">
        <v>5</v>
      </c>
      <c r="H366" s="123">
        <v>6</v>
      </c>
      <c r="I366" s="124">
        <v>5145.2</v>
      </c>
      <c r="J366" s="124">
        <v>4747.7</v>
      </c>
      <c r="K366" s="125">
        <v>253</v>
      </c>
      <c r="L366" s="123" t="s">
        <v>418</v>
      </c>
      <c r="M366" s="123" t="s">
        <v>424</v>
      </c>
      <c r="N366" s="126" t="s">
        <v>440</v>
      </c>
      <c r="O366" s="128">
        <v>22410887.949999999</v>
      </c>
      <c r="P366" s="128">
        <v>0</v>
      </c>
      <c r="Q366" s="128">
        <v>0</v>
      </c>
      <c r="R366" s="128">
        <v>0</v>
      </c>
      <c r="S366" s="128">
        <f>O366-P366-Q366-R366</f>
        <v>22410887.949999999</v>
      </c>
      <c r="T366" s="128">
        <f t="shared" si="165"/>
        <v>4355.6883988960581</v>
      </c>
      <c r="U366" s="128">
        <v>4437.6400000000003</v>
      </c>
      <c r="V366" s="129"/>
    </row>
    <row r="367" spans="1:22" ht="35.25" x14ac:dyDescent="0.5">
      <c r="A367">
        <v>1</v>
      </c>
      <c r="B367" s="131">
        <f>SUBTOTAL(9,$A$338:A367)</f>
        <v>29</v>
      </c>
      <c r="C367" s="10" t="s">
        <v>165</v>
      </c>
      <c r="D367" s="123"/>
      <c r="E367" s="123">
        <v>1956</v>
      </c>
      <c r="F367" s="123" t="s">
        <v>420</v>
      </c>
      <c r="G367" s="123">
        <v>2</v>
      </c>
      <c r="H367" s="123">
        <v>1</v>
      </c>
      <c r="I367" s="124">
        <v>458.1</v>
      </c>
      <c r="J367" s="124">
        <v>421.4</v>
      </c>
      <c r="K367" s="125">
        <v>17</v>
      </c>
      <c r="L367" s="123" t="s">
        <v>418</v>
      </c>
      <c r="M367" s="123" t="s">
        <v>425</v>
      </c>
      <c r="N367" s="138" t="s">
        <v>426</v>
      </c>
      <c r="O367" s="128">
        <v>5179360.0799999991</v>
      </c>
      <c r="P367" s="128">
        <v>0</v>
      </c>
      <c r="Q367" s="128">
        <v>0</v>
      </c>
      <c r="R367" s="128">
        <v>0</v>
      </c>
      <c r="S367" s="128">
        <f>O367-P367-Q367-R367</f>
        <v>5179360.0799999991</v>
      </c>
      <c r="T367" s="128">
        <f t="shared" si="165"/>
        <v>11306.177865094955</v>
      </c>
      <c r="U367" s="128">
        <v>11518.9</v>
      </c>
      <c r="V367" s="129"/>
    </row>
    <row r="368" spans="1:22" ht="35.25" x14ac:dyDescent="0.5">
      <c r="A368">
        <v>1</v>
      </c>
      <c r="B368" s="131">
        <f>SUBTOTAL(9,$A$338:A368)</f>
        <v>30</v>
      </c>
      <c r="C368" s="10" t="s">
        <v>166</v>
      </c>
      <c r="D368" s="123"/>
      <c r="E368" s="123">
        <v>1937</v>
      </c>
      <c r="F368" s="123" t="s">
        <v>319</v>
      </c>
      <c r="G368" s="123">
        <v>2</v>
      </c>
      <c r="H368" s="123">
        <v>2</v>
      </c>
      <c r="I368" s="124">
        <v>576.5</v>
      </c>
      <c r="J368" s="124">
        <v>508.4</v>
      </c>
      <c r="K368" s="125">
        <v>27</v>
      </c>
      <c r="L368" s="123" t="s">
        <v>418</v>
      </c>
      <c r="M368" s="123" t="s">
        <v>425</v>
      </c>
      <c r="N368" s="126" t="s">
        <v>426</v>
      </c>
      <c r="O368" s="128">
        <v>5462447.6500000004</v>
      </c>
      <c r="P368" s="128">
        <v>0</v>
      </c>
      <c r="Q368" s="128">
        <v>0</v>
      </c>
      <c r="R368" s="128">
        <v>0</v>
      </c>
      <c r="S368" s="128">
        <f>O368-P368-Q368-R368</f>
        <v>5462447.6500000004</v>
      </c>
      <c r="T368" s="128">
        <f t="shared" si="165"/>
        <v>9475.1910667823086</v>
      </c>
      <c r="U368" s="128">
        <v>9653.4599999999991</v>
      </c>
      <c r="V368" s="129"/>
    </row>
    <row r="369" spans="1:22" ht="35.25" x14ac:dyDescent="0.5">
      <c r="A369">
        <v>1</v>
      </c>
      <c r="B369" s="131">
        <f>SUBTOTAL(9,$A$338:A369)</f>
        <v>31</v>
      </c>
      <c r="C369" s="10" t="s">
        <v>167</v>
      </c>
      <c r="D369" s="123"/>
      <c r="E369" s="123">
        <v>1976</v>
      </c>
      <c r="F369" s="123" t="s">
        <v>420</v>
      </c>
      <c r="G369" s="123">
        <v>2</v>
      </c>
      <c r="H369" s="123">
        <v>3</v>
      </c>
      <c r="I369" s="124">
        <v>939.7</v>
      </c>
      <c r="J369" s="124">
        <v>860.2</v>
      </c>
      <c r="K369" s="125">
        <v>44</v>
      </c>
      <c r="L369" s="123" t="s">
        <v>418</v>
      </c>
      <c r="M369" s="123" t="s">
        <v>425</v>
      </c>
      <c r="N369" s="126" t="s">
        <v>426</v>
      </c>
      <c r="O369" s="128">
        <v>10887319.560000001</v>
      </c>
      <c r="P369" s="128">
        <v>0</v>
      </c>
      <c r="Q369" s="128">
        <v>0</v>
      </c>
      <c r="R369" s="128">
        <v>0</v>
      </c>
      <c r="S369" s="128">
        <f>O369-P369-Q369-R369</f>
        <v>10887319.560000001</v>
      </c>
      <c r="T369" s="128">
        <f t="shared" si="165"/>
        <v>11585.952495477281</v>
      </c>
      <c r="U369" s="128">
        <v>11803.94</v>
      </c>
      <c r="V369" s="129"/>
    </row>
    <row r="370" spans="1:22" ht="35.25" x14ac:dyDescent="0.5">
      <c r="A370">
        <v>1</v>
      </c>
      <c r="B370" s="131">
        <f>SUBTOTAL(9,$A$338:A370)</f>
        <v>32</v>
      </c>
      <c r="C370" s="10" t="s">
        <v>168</v>
      </c>
      <c r="D370" s="123"/>
      <c r="E370" s="123">
        <v>1973</v>
      </c>
      <c r="F370" s="123" t="s">
        <v>421</v>
      </c>
      <c r="G370" s="123">
        <v>5</v>
      </c>
      <c r="H370" s="123">
        <v>6</v>
      </c>
      <c r="I370" s="124">
        <v>5018.3999999999996</v>
      </c>
      <c r="J370" s="124">
        <v>4596.5</v>
      </c>
      <c r="K370" s="125">
        <v>234</v>
      </c>
      <c r="L370" s="123" t="s">
        <v>418</v>
      </c>
      <c r="M370" s="123" t="s">
        <v>424</v>
      </c>
      <c r="N370" s="126" t="s">
        <v>440</v>
      </c>
      <c r="O370" s="128">
        <v>16283087.65</v>
      </c>
      <c r="P370" s="128">
        <v>0</v>
      </c>
      <c r="Q370" s="128">
        <v>0</v>
      </c>
      <c r="R370" s="128">
        <v>0</v>
      </c>
      <c r="S370" s="128">
        <f>O370-P370-Q370-R370</f>
        <v>16283087.65</v>
      </c>
      <c r="T370" s="128">
        <f t="shared" si="165"/>
        <v>3244.6771182050061</v>
      </c>
      <c r="U370" s="128">
        <v>3244.68</v>
      </c>
      <c r="V370" s="129"/>
    </row>
    <row r="371" spans="1:22" ht="35.25" x14ac:dyDescent="0.5">
      <c r="B371" s="122" t="s">
        <v>415</v>
      </c>
      <c r="C371" s="130"/>
      <c r="D371" s="123" t="s">
        <v>423</v>
      </c>
      <c r="E371" s="123" t="s">
        <v>423</v>
      </c>
      <c r="F371" s="123" t="s">
        <v>423</v>
      </c>
      <c r="G371" s="123" t="s">
        <v>423</v>
      </c>
      <c r="H371" s="123" t="s">
        <v>423</v>
      </c>
      <c r="I371" s="124">
        <f>SUM(I372:I384)</f>
        <v>34513.399999999994</v>
      </c>
      <c r="J371" s="124">
        <f>SUM(J372:J384)</f>
        <v>31341.000000000004</v>
      </c>
      <c r="K371" s="125">
        <f>SUM(K372:K384)</f>
        <v>1238</v>
      </c>
      <c r="L371" s="123" t="s">
        <v>423</v>
      </c>
      <c r="M371" s="123" t="s">
        <v>423</v>
      </c>
      <c r="N371" s="126" t="s">
        <v>423</v>
      </c>
      <c r="O371" s="128">
        <f>SUM(O372:O384)</f>
        <v>176719887.50999999</v>
      </c>
      <c r="P371" s="128">
        <f t="shared" ref="P371:S371" si="166">SUM(P372:P384)</f>
        <v>0</v>
      </c>
      <c r="Q371" s="128">
        <f t="shared" si="166"/>
        <v>0</v>
      </c>
      <c r="R371" s="128">
        <f t="shared" si="166"/>
        <v>0</v>
      </c>
      <c r="S371" s="128">
        <f t="shared" si="166"/>
        <v>176719887.50999999</v>
      </c>
      <c r="T371" s="128">
        <f t="shared" si="160"/>
        <v>5120.3268153818526</v>
      </c>
      <c r="U371" s="128">
        <f>MAX(U372:U384)</f>
        <v>16846.319786096257</v>
      </c>
      <c r="V371" s="129"/>
    </row>
    <row r="372" spans="1:22" ht="35.25" x14ac:dyDescent="0.5">
      <c r="A372">
        <v>1</v>
      </c>
      <c r="B372" s="131">
        <f>SUBTOTAL(9,$A$338:A372)</f>
        <v>33</v>
      </c>
      <c r="C372" s="10" t="s">
        <v>140</v>
      </c>
      <c r="D372" s="123" t="s">
        <v>422</v>
      </c>
      <c r="E372" s="123">
        <v>1917</v>
      </c>
      <c r="F372" s="123" t="s">
        <v>420</v>
      </c>
      <c r="G372" s="123">
        <v>2</v>
      </c>
      <c r="H372" s="123" t="s">
        <v>318</v>
      </c>
      <c r="I372" s="124">
        <v>617.1</v>
      </c>
      <c r="J372" s="124">
        <v>518.9</v>
      </c>
      <c r="K372" s="125">
        <v>26</v>
      </c>
      <c r="L372" s="123" t="s">
        <v>418</v>
      </c>
      <c r="M372" s="123" t="s">
        <v>425</v>
      </c>
      <c r="N372" s="126" t="s">
        <v>426</v>
      </c>
      <c r="O372" s="128">
        <v>10395863.940000001</v>
      </c>
      <c r="P372" s="128">
        <v>0</v>
      </c>
      <c r="Q372" s="128">
        <v>0</v>
      </c>
      <c r="R372" s="128">
        <v>0</v>
      </c>
      <c r="S372" s="128">
        <f t="shared" si="159"/>
        <v>10395863.940000001</v>
      </c>
      <c r="T372" s="128">
        <f t="shared" si="160"/>
        <v>16846.319786096257</v>
      </c>
      <c r="U372" s="128">
        <v>16846.319786096257</v>
      </c>
      <c r="V372" s="129"/>
    </row>
    <row r="373" spans="1:22" ht="35.25" x14ac:dyDescent="0.5">
      <c r="A373">
        <v>1</v>
      </c>
      <c r="B373" s="131">
        <f>SUBTOTAL(9,$A$338:A373)</f>
        <v>34</v>
      </c>
      <c r="C373" s="10" t="s">
        <v>141</v>
      </c>
      <c r="D373" s="123"/>
      <c r="E373" s="123">
        <v>1967</v>
      </c>
      <c r="F373" s="123" t="s">
        <v>420</v>
      </c>
      <c r="G373" s="123">
        <v>5</v>
      </c>
      <c r="H373" s="123" t="s">
        <v>322</v>
      </c>
      <c r="I373" s="124">
        <v>3161.5</v>
      </c>
      <c r="J373" s="124">
        <v>3161.5</v>
      </c>
      <c r="K373" s="125">
        <v>116</v>
      </c>
      <c r="L373" s="123" t="s">
        <v>418</v>
      </c>
      <c r="M373" s="123" t="s">
        <v>424</v>
      </c>
      <c r="N373" s="126" t="s">
        <v>436</v>
      </c>
      <c r="O373" s="128">
        <v>14573297.48</v>
      </c>
      <c r="P373" s="128">
        <v>0</v>
      </c>
      <c r="Q373" s="128">
        <v>0</v>
      </c>
      <c r="R373" s="128">
        <v>0</v>
      </c>
      <c r="S373" s="128">
        <f t="shared" si="159"/>
        <v>14573297.48</v>
      </c>
      <c r="T373" s="128">
        <f t="shared" si="160"/>
        <v>4609.6148916653492</v>
      </c>
      <c r="U373" s="128">
        <v>4696.34</v>
      </c>
      <c r="V373" s="129"/>
    </row>
    <row r="374" spans="1:22" ht="35.25" x14ac:dyDescent="0.5">
      <c r="A374">
        <v>1</v>
      </c>
      <c r="B374" s="131">
        <f>SUBTOTAL(9,$A$338:A374)</f>
        <v>35</v>
      </c>
      <c r="C374" s="10" t="s">
        <v>142</v>
      </c>
      <c r="D374" s="123"/>
      <c r="E374" s="123">
        <v>1959</v>
      </c>
      <c r="F374" s="123" t="s">
        <v>420</v>
      </c>
      <c r="G374" s="123">
        <v>2</v>
      </c>
      <c r="H374" s="123" t="s">
        <v>318</v>
      </c>
      <c r="I374" s="124">
        <v>310.2</v>
      </c>
      <c r="J374" s="124">
        <v>310.2</v>
      </c>
      <c r="K374" s="125">
        <v>19</v>
      </c>
      <c r="L374" s="123" t="s">
        <v>418</v>
      </c>
      <c r="M374" s="123" t="s">
        <v>424</v>
      </c>
      <c r="N374" s="126" t="s">
        <v>490</v>
      </c>
      <c r="O374" s="128">
        <v>1815862.4</v>
      </c>
      <c r="P374" s="128">
        <v>0</v>
      </c>
      <c r="Q374" s="128">
        <v>0</v>
      </c>
      <c r="R374" s="128">
        <v>0</v>
      </c>
      <c r="S374" s="128">
        <f t="shared" si="159"/>
        <v>1815862.4</v>
      </c>
      <c r="T374" s="128">
        <f t="shared" si="160"/>
        <v>5853.8439716312059</v>
      </c>
      <c r="U374" s="128">
        <v>5853.8439716312059</v>
      </c>
      <c r="V374" s="129"/>
    </row>
    <row r="375" spans="1:22" ht="35.25" x14ac:dyDescent="0.5">
      <c r="A375">
        <v>1</v>
      </c>
      <c r="B375" s="131">
        <f>SUBTOTAL(9,$A$338:A375)</f>
        <v>36</v>
      </c>
      <c r="C375" s="10" t="s">
        <v>143</v>
      </c>
      <c r="D375" s="123"/>
      <c r="E375" s="123">
        <v>1967</v>
      </c>
      <c r="F375" s="123" t="s">
        <v>420</v>
      </c>
      <c r="G375" s="123">
        <v>5</v>
      </c>
      <c r="H375" s="123" t="s">
        <v>322</v>
      </c>
      <c r="I375" s="124">
        <v>3413.2</v>
      </c>
      <c r="J375" s="124">
        <v>3136.1</v>
      </c>
      <c r="K375" s="125">
        <v>163</v>
      </c>
      <c r="L375" s="123" t="s">
        <v>418</v>
      </c>
      <c r="M375" s="123" t="s">
        <v>424</v>
      </c>
      <c r="N375" s="126" t="s">
        <v>549</v>
      </c>
      <c r="O375" s="128">
        <v>13963961</v>
      </c>
      <c r="P375" s="128">
        <v>0</v>
      </c>
      <c r="Q375" s="128">
        <v>0</v>
      </c>
      <c r="R375" s="128">
        <v>0</v>
      </c>
      <c r="S375" s="128">
        <f t="shared" si="159"/>
        <v>13963961</v>
      </c>
      <c r="T375" s="128">
        <f t="shared" si="160"/>
        <v>4091.164010312903</v>
      </c>
      <c r="U375" s="128">
        <v>4168.1400000000003</v>
      </c>
      <c r="V375" s="129"/>
    </row>
    <row r="376" spans="1:22" ht="35.25" x14ac:dyDescent="0.5">
      <c r="A376">
        <v>1</v>
      </c>
      <c r="B376" s="131">
        <f>SUBTOTAL(9,$A$338:A376)</f>
        <v>37</v>
      </c>
      <c r="C376" s="10" t="s">
        <v>144</v>
      </c>
      <c r="D376" s="123"/>
      <c r="E376" s="123">
        <v>1956</v>
      </c>
      <c r="F376" s="123" t="s">
        <v>420</v>
      </c>
      <c r="G376" s="123">
        <v>3</v>
      </c>
      <c r="H376" s="123" t="s">
        <v>322</v>
      </c>
      <c r="I376" s="124">
        <v>2169.1999999999998</v>
      </c>
      <c r="J376" s="124">
        <v>2169.1999999999998</v>
      </c>
      <c r="K376" s="125">
        <v>58</v>
      </c>
      <c r="L376" s="123" t="s">
        <v>418</v>
      </c>
      <c r="M376" s="123" t="s">
        <v>424</v>
      </c>
      <c r="N376" s="126" t="s">
        <v>549</v>
      </c>
      <c r="O376" s="128">
        <v>24957255.399999999</v>
      </c>
      <c r="P376" s="128">
        <v>0</v>
      </c>
      <c r="Q376" s="128">
        <v>0</v>
      </c>
      <c r="R376" s="128">
        <v>0</v>
      </c>
      <c r="S376" s="128">
        <f t="shared" si="159"/>
        <v>24957255.399999999</v>
      </c>
      <c r="T376" s="128">
        <f t="shared" si="160"/>
        <v>11505.280933062881</v>
      </c>
      <c r="U376" s="128">
        <v>11505.28</v>
      </c>
      <c r="V376" s="129"/>
    </row>
    <row r="377" spans="1:22" ht="35.25" x14ac:dyDescent="0.5">
      <c r="A377">
        <v>1</v>
      </c>
      <c r="B377" s="131">
        <f>SUBTOTAL(9,$A$338:A377)</f>
        <v>38</v>
      </c>
      <c r="C377" s="10" t="s">
        <v>145</v>
      </c>
      <c r="D377" s="123"/>
      <c r="E377" s="123">
        <v>1979</v>
      </c>
      <c r="F377" s="123" t="s">
        <v>421</v>
      </c>
      <c r="G377" s="123">
        <v>9</v>
      </c>
      <c r="H377" s="123" t="s">
        <v>327</v>
      </c>
      <c r="I377" s="124">
        <v>6626.1</v>
      </c>
      <c r="J377" s="124">
        <v>5870.1</v>
      </c>
      <c r="K377" s="125">
        <v>324</v>
      </c>
      <c r="L377" s="123" t="s">
        <v>418</v>
      </c>
      <c r="M377" s="123" t="s">
        <v>424</v>
      </c>
      <c r="N377" s="126" t="s">
        <v>435</v>
      </c>
      <c r="O377" s="128">
        <v>12105615.6</v>
      </c>
      <c r="P377" s="128">
        <v>0</v>
      </c>
      <c r="Q377" s="128">
        <v>0</v>
      </c>
      <c r="R377" s="128">
        <v>0</v>
      </c>
      <c r="S377" s="128">
        <f t="shared" si="159"/>
        <v>12105615.6</v>
      </c>
      <c r="T377" s="128">
        <f t="shared" si="160"/>
        <v>1826.9593878752205</v>
      </c>
      <c r="U377" s="128">
        <v>1826.96</v>
      </c>
      <c r="V377" s="129"/>
    </row>
    <row r="378" spans="1:22" ht="35.25" x14ac:dyDescent="0.5">
      <c r="A378">
        <v>1</v>
      </c>
      <c r="B378" s="131">
        <f>SUBTOTAL(9,$A$338:A378)</f>
        <v>39</v>
      </c>
      <c r="C378" s="10" t="s">
        <v>146</v>
      </c>
      <c r="D378" s="123"/>
      <c r="E378" s="123">
        <v>1961</v>
      </c>
      <c r="F378" s="123" t="s">
        <v>420</v>
      </c>
      <c r="G378" s="123">
        <v>5</v>
      </c>
      <c r="H378" s="123" t="s">
        <v>320</v>
      </c>
      <c r="I378" s="124">
        <v>2062.6999999999998</v>
      </c>
      <c r="J378" s="124">
        <v>1578.8</v>
      </c>
      <c r="K378" s="125">
        <v>86</v>
      </c>
      <c r="L378" s="123" t="s">
        <v>418</v>
      </c>
      <c r="M378" s="123" t="s">
        <v>424</v>
      </c>
      <c r="N378" s="126" t="s">
        <v>433</v>
      </c>
      <c r="O378" s="128">
        <v>7515149.9199999999</v>
      </c>
      <c r="P378" s="128">
        <v>0</v>
      </c>
      <c r="Q378" s="128">
        <v>0</v>
      </c>
      <c r="R378" s="128">
        <v>0</v>
      </c>
      <c r="S378" s="128">
        <f t="shared" si="159"/>
        <v>7515149.9199999999</v>
      </c>
      <c r="T378" s="128">
        <f t="shared" si="160"/>
        <v>3643.3557570175017</v>
      </c>
      <c r="U378" s="128">
        <v>3711.9</v>
      </c>
      <c r="V378" s="129"/>
    </row>
    <row r="379" spans="1:22" ht="35.25" x14ac:dyDescent="0.5">
      <c r="A379">
        <v>1</v>
      </c>
      <c r="B379" s="131">
        <f>SUBTOTAL(9,$A$338:A379)</f>
        <v>40</v>
      </c>
      <c r="C379" s="10" t="s">
        <v>147</v>
      </c>
      <c r="D379" s="123"/>
      <c r="E379" s="123">
        <v>1970</v>
      </c>
      <c r="F379" s="123" t="s">
        <v>420</v>
      </c>
      <c r="G379" s="123">
        <v>5</v>
      </c>
      <c r="H379" s="123" t="s">
        <v>322</v>
      </c>
      <c r="I379" s="124">
        <v>4045.3</v>
      </c>
      <c r="J379" s="124">
        <v>3798.6000000000004</v>
      </c>
      <c r="K379" s="125">
        <v>105</v>
      </c>
      <c r="L379" s="123" t="s">
        <v>418</v>
      </c>
      <c r="M379" s="123" t="s">
        <v>424</v>
      </c>
      <c r="N379" s="126" t="s">
        <v>549</v>
      </c>
      <c r="O379" s="128">
        <v>15525385.729999999</v>
      </c>
      <c r="P379" s="128">
        <v>0</v>
      </c>
      <c r="Q379" s="128">
        <v>0</v>
      </c>
      <c r="R379" s="128">
        <v>0</v>
      </c>
      <c r="S379" s="128">
        <f t="shared" si="159"/>
        <v>15525385.729999999</v>
      </c>
      <c r="T379" s="128">
        <f t="shared" si="160"/>
        <v>3837.8824141596415</v>
      </c>
      <c r="U379" s="128">
        <v>3910.09</v>
      </c>
      <c r="V379" s="129"/>
    </row>
    <row r="380" spans="1:22" ht="35.25" x14ac:dyDescent="0.5">
      <c r="A380">
        <v>1</v>
      </c>
      <c r="B380" s="131">
        <f>SUBTOTAL(9,$A$338:A380)</f>
        <v>41</v>
      </c>
      <c r="C380" s="10" t="s">
        <v>148</v>
      </c>
      <c r="D380" s="123"/>
      <c r="E380" s="123">
        <v>1962</v>
      </c>
      <c r="F380" s="123" t="s">
        <v>420</v>
      </c>
      <c r="G380" s="123">
        <v>3</v>
      </c>
      <c r="H380" s="123" t="s">
        <v>320</v>
      </c>
      <c r="I380" s="124">
        <v>1350</v>
      </c>
      <c r="J380" s="124">
        <v>620.4</v>
      </c>
      <c r="K380" s="125">
        <v>62</v>
      </c>
      <c r="L380" s="123" t="s">
        <v>418</v>
      </c>
      <c r="M380" s="123" t="s">
        <v>424</v>
      </c>
      <c r="N380" s="126" t="s">
        <v>549</v>
      </c>
      <c r="O380" s="128">
        <v>6981980.5</v>
      </c>
      <c r="P380" s="128">
        <v>0</v>
      </c>
      <c r="Q380" s="128">
        <v>0</v>
      </c>
      <c r="R380" s="128">
        <v>0</v>
      </c>
      <c r="S380" s="128">
        <f t="shared" si="159"/>
        <v>6981980.5</v>
      </c>
      <c r="T380" s="128">
        <f t="shared" si="160"/>
        <v>5171.8374074074072</v>
      </c>
      <c r="U380" s="128">
        <v>5269.14</v>
      </c>
      <c r="V380" s="129"/>
    </row>
    <row r="381" spans="1:22" ht="35.25" x14ac:dyDescent="0.5">
      <c r="A381">
        <v>1</v>
      </c>
      <c r="B381" s="131">
        <f>SUBTOTAL(9,$A$338:A381)</f>
        <v>42</v>
      </c>
      <c r="C381" s="10" t="s">
        <v>149</v>
      </c>
      <c r="D381" s="123"/>
      <c r="E381" s="123">
        <v>1960</v>
      </c>
      <c r="F381" s="123" t="s">
        <v>420</v>
      </c>
      <c r="G381" s="123">
        <v>4</v>
      </c>
      <c r="H381" s="123" t="s">
        <v>322</v>
      </c>
      <c r="I381" s="124">
        <v>2559.8000000000002</v>
      </c>
      <c r="J381" s="124">
        <v>2559.8000000000002</v>
      </c>
      <c r="K381" s="125">
        <v>84</v>
      </c>
      <c r="L381" s="123" t="s">
        <v>418</v>
      </c>
      <c r="M381" s="123" t="s">
        <v>424</v>
      </c>
      <c r="N381" s="126" t="s">
        <v>549</v>
      </c>
      <c r="O381" s="128">
        <v>14560201.200000001</v>
      </c>
      <c r="P381" s="128">
        <v>0</v>
      </c>
      <c r="Q381" s="128">
        <v>0</v>
      </c>
      <c r="R381" s="128">
        <v>0</v>
      </c>
      <c r="S381" s="128">
        <f t="shared" si="159"/>
        <v>14560201.200000001</v>
      </c>
      <c r="T381" s="128">
        <f t="shared" si="160"/>
        <v>5688.0229705445736</v>
      </c>
      <c r="U381" s="128">
        <v>5795.2</v>
      </c>
      <c r="V381" s="129"/>
    </row>
    <row r="382" spans="1:22" ht="35.25" x14ac:dyDescent="0.5">
      <c r="A382">
        <v>1</v>
      </c>
      <c r="B382" s="131">
        <f>SUBTOTAL(9,$A$338:A382)</f>
        <v>43</v>
      </c>
      <c r="C382" s="10" t="s">
        <v>150</v>
      </c>
      <c r="D382" s="123"/>
      <c r="E382" s="123">
        <v>1962</v>
      </c>
      <c r="F382" s="123" t="s">
        <v>420</v>
      </c>
      <c r="G382" s="123">
        <v>3</v>
      </c>
      <c r="H382" s="123" t="s">
        <v>320</v>
      </c>
      <c r="I382" s="124">
        <v>1038.5999999999999</v>
      </c>
      <c r="J382" s="124">
        <v>965.2</v>
      </c>
      <c r="K382" s="125">
        <v>38</v>
      </c>
      <c r="L382" s="123" t="s">
        <v>418</v>
      </c>
      <c r="M382" s="123" t="s">
        <v>424</v>
      </c>
      <c r="N382" s="126" t="s">
        <v>433</v>
      </c>
      <c r="O382" s="128">
        <v>7438982.8600000003</v>
      </c>
      <c r="P382" s="128">
        <v>0</v>
      </c>
      <c r="Q382" s="128">
        <v>0</v>
      </c>
      <c r="R382" s="128">
        <v>0</v>
      </c>
      <c r="S382" s="128">
        <f t="shared" si="159"/>
        <v>7438982.8600000003</v>
      </c>
      <c r="T382" s="128">
        <f t="shared" si="160"/>
        <v>7162.5099749663013</v>
      </c>
      <c r="U382" s="128">
        <v>7297.27</v>
      </c>
      <c r="V382" s="129"/>
    </row>
    <row r="383" spans="1:22" ht="35.25" x14ac:dyDescent="0.5">
      <c r="A383">
        <v>1</v>
      </c>
      <c r="B383" s="131">
        <f>SUBTOTAL(9,$A$338:A383)</f>
        <v>44</v>
      </c>
      <c r="C383" s="10" t="s">
        <v>151</v>
      </c>
      <c r="D383" s="123"/>
      <c r="E383" s="123">
        <v>1958</v>
      </c>
      <c r="F383" s="123" t="s">
        <v>420</v>
      </c>
      <c r="G383" s="123">
        <v>4</v>
      </c>
      <c r="H383" s="123" t="s">
        <v>335</v>
      </c>
      <c r="I383" s="124">
        <v>3599.7</v>
      </c>
      <c r="J383" s="124">
        <v>3599.7</v>
      </c>
      <c r="K383" s="125">
        <v>98</v>
      </c>
      <c r="L383" s="123" t="s">
        <v>418</v>
      </c>
      <c r="M383" s="123" t="s">
        <v>424</v>
      </c>
      <c r="N383" s="126" t="s">
        <v>436</v>
      </c>
      <c r="O383" s="128">
        <v>24119569</v>
      </c>
      <c r="P383" s="128">
        <v>0</v>
      </c>
      <c r="Q383" s="128">
        <v>0</v>
      </c>
      <c r="R383" s="128">
        <v>0</v>
      </c>
      <c r="S383" s="128">
        <f t="shared" si="159"/>
        <v>24119569</v>
      </c>
      <c r="T383" s="128">
        <f t="shared" si="160"/>
        <v>6700.4386476650834</v>
      </c>
      <c r="U383" s="128">
        <v>6826.5</v>
      </c>
      <c r="V383" s="129"/>
    </row>
    <row r="384" spans="1:22" ht="35.25" x14ac:dyDescent="0.5">
      <c r="A384">
        <v>1</v>
      </c>
      <c r="B384" s="131">
        <f>SUBTOTAL(9,$A$338:A384)</f>
        <v>45</v>
      </c>
      <c r="C384" s="10" t="s">
        <v>152</v>
      </c>
      <c r="D384" s="123"/>
      <c r="E384" s="123">
        <v>1940</v>
      </c>
      <c r="F384" s="123" t="s">
        <v>420</v>
      </c>
      <c r="G384" s="123">
        <v>4</v>
      </c>
      <c r="H384" s="123" t="s">
        <v>335</v>
      </c>
      <c r="I384" s="124">
        <v>3560</v>
      </c>
      <c r="J384" s="124">
        <v>3052.5</v>
      </c>
      <c r="K384" s="125">
        <v>59</v>
      </c>
      <c r="L384" s="123" t="s">
        <v>418</v>
      </c>
      <c r="M384" s="123" t="s">
        <v>424</v>
      </c>
      <c r="N384" s="126" t="s">
        <v>429</v>
      </c>
      <c r="O384" s="128">
        <v>22766762.48</v>
      </c>
      <c r="P384" s="128">
        <v>0</v>
      </c>
      <c r="Q384" s="128">
        <v>0</v>
      </c>
      <c r="R384" s="128">
        <v>0</v>
      </c>
      <c r="S384" s="128">
        <f t="shared" si="159"/>
        <v>22766762.48</v>
      </c>
      <c r="T384" s="128">
        <f t="shared" si="160"/>
        <v>6395.1580000000004</v>
      </c>
      <c r="U384" s="128">
        <v>6395.16</v>
      </c>
      <c r="V384" s="129"/>
    </row>
    <row r="385" spans="1:22" ht="35.25" x14ac:dyDescent="0.5">
      <c r="B385" s="145" t="s">
        <v>472</v>
      </c>
      <c r="C385" s="145"/>
      <c r="D385" s="123" t="s">
        <v>423</v>
      </c>
      <c r="E385" s="123" t="s">
        <v>423</v>
      </c>
      <c r="F385" s="123" t="s">
        <v>423</v>
      </c>
      <c r="G385" s="123" t="s">
        <v>423</v>
      </c>
      <c r="H385" s="123" t="s">
        <v>423</v>
      </c>
      <c r="I385" s="124">
        <f>SUM(I386:I396)</f>
        <v>40402.61</v>
      </c>
      <c r="J385" s="124">
        <f>SUM(J386:J396)</f>
        <v>30870.980000000003</v>
      </c>
      <c r="K385" s="125">
        <f>SUM(K386:K396)</f>
        <v>1523</v>
      </c>
      <c r="L385" s="123" t="s">
        <v>423</v>
      </c>
      <c r="M385" s="123" t="s">
        <v>423</v>
      </c>
      <c r="N385" s="126" t="s">
        <v>423</v>
      </c>
      <c r="O385" s="127">
        <f>SUM(O386:O396)</f>
        <v>142209192.10999998</v>
      </c>
      <c r="P385" s="127">
        <f>SUM(P386:P396)</f>
        <v>0</v>
      </c>
      <c r="Q385" s="127">
        <f>SUM(Q386:Q396)</f>
        <v>0</v>
      </c>
      <c r="R385" s="127">
        <f>SUM(R386:R396)</f>
        <v>0</v>
      </c>
      <c r="S385" s="127">
        <f>SUM(S386:S396)</f>
        <v>142209192.10999998</v>
      </c>
      <c r="T385" s="128">
        <f t="shared" ref="T385:T410" si="167">O385/I385</f>
        <v>3519.8021145168586</v>
      </c>
      <c r="U385" s="128">
        <f>MAX(U386:U396)</f>
        <v>13167.963513513512</v>
      </c>
      <c r="V385" s="129"/>
    </row>
    <row r="386" spans="1:22" ht="35.25" x14ac:dyDescent="0.5">
      <c r="A386">
        <v>1</v>
      </c>
      <c r="B386" s="131">
        <f>SUBTOTAL(9,$A$338:A386)</f>
        <v>46</v>
      </c>
      <c r="C386" s="10" t="s">
        <v>393</v>
      </c>
      <c r="D386" s="27"/>
      <c r="E386" s="123">
        <v>1964</v>
      </c>
      <c r="F386" s="123" t="s">
        <v>420</v>
      </c>
      <c r="G386" s="123">
        <v>4</v>
      </c>
      <c r="H386" s="123" t="s">
        <v>320</v>
      </c>
      <c r="I386" s="124">
        <v>1331.3</v>
      </c>
      <c r="J386" s="124">
        <v>1231.8000000000002</v>
      </c>
      <c r="K386" s="125">
        <v>51</v>
      </c>
      <c r="L386" s="123" t="s">
        <v>418</v>
      </c>
      <c r="M386" s="123" t="s">
        <v>424</v>
      </c>
      <c r="N386" s="126" t="s">
        <v>474</v>
      </c>
      <c r="O386" s="128">
        <v>7299343.25</v>
      </c>
      <c r="P386" s="128">
        <v>0</v>
      </c>
      <c r="Q386" s="128">
        <v>0</v>
      </c>
      <c r="R386" s="128">
        <v>0</v>
      </c>
      <c r="S386" s="128">
        <f t="shared" ref="S386:S395" si="168">O386-P386-Q386-R386</f>
        <v>7299343.25</v>
      </c>
      <c r="T386" s="128">
        <f t="shared" si="167"/>
        <v>5482.8688124389701</v>
      </c>
      <c r="U386" s="128">
        <v>5586.03</v>
      </c>
      <c r="V386" s="129"/>
    </row>
    <row r="387" spans="1:22" ht="35.25" x14ac:dyDescent="0.5">
      <c r="A387">
        <v>1</v>
      </c>
      <c r="B387" s="131">
        <f>SUBTOTAL(9,$A$338:A387)</f>
        <v>47</v>
      </c>
      <c r="C387" s="10" t="s">
        <v>387</v>
      </c>
      <c r="D387" s="27"/>
      <c r="E387" s="123">
        <v>1963</v>
      </c>
      <c r="F387" s="123" t="s">
        <v>420</v>
      </c>
      <c r="G387" s="123">
        <v>3</v>
      </c>
      <c r="H387" s="123" t="s">
        <v>327</v>
      </c>
      <c r="I387" s="124">
        <v>1624.8</v>
      </c>
      <c r="J387" s="124">
        <v>1516</v>
      </c>
      <c r="K387" s="125">
        <v>63</v>
      </c>
      <c r="L387" s="123" t="s">
        <v>418</v>
      </c>
      <c r="M387" s="123" t="s">
        <v>424</v>
      </c>
      <c r="N387" s="126" t="s">
        <v>480</v>
      </c>
      <c r="O387" s="128">
        <v>10663388.399999999</v>
      </c>
      <c r="P387" s="128">
        <v>0</v>
      </c>
      <c r="Q387" s="128">
        <v>0</v>
      </c>
      <c r="R387" s="128">
        <v>0</v>
      </c>
      <c r="S387" s="128">
        <f t="shared" si="168"/>
        <v>10663388.399999999</v>
      </c>
      <c r="T387" s="128">
        <f t="shared" si="167"/>
        <v>6562.8929098966019</v>
      </c>
      <c r="U387" s="128">
        <v>6686.37</v>
      </c>
      <c r="V387" s="129"/>
    </row>
    <row r="388" spans="1:22" ht="70.5" x14ac:dyDescent="0.5">
      <c r="A388">
        <v>1</v>
      </c>
      <c r="B388" s="131">
        <f>SUBTOTAL(9,$A$338:A388)</f>
        <v>48</v>
      </c>
      <c r="C388" s="10" t="s">
        <v>401</v>
      </c>
      <c r="D388" s="27"/>
      <c r="E388" s="123">
        <v>1990</v>
      </c>
      <c r="F388" s="123" t="s">
        <v>420</v>
      </c>
      <c r="G388" s="123">
        <v>5</v>
      </c>
      <c r="H388" s="123" t="s">
        <v>318</v>
      </c>
      <c r="I388" s="124">
        <v>3010.5</v>
      </c>
      <c r="J388" s="124">
        <v>2501.9</v>
      </c>
      <c r="K388" s="125">
        <v>158</v>
      </c>
      <c r="L388" s="123" t="s">
        <v>418</v>
      </c>
      <c r="M388" s="123" t="s">
        <v>424</v>
      </c>
      <c r="N388" s="126" t="s">
        <v>475</v>
      </c>
      <c r="O388" s="128">
        <v>9842279.3499999996</v>
      </c>
      <c r="P388" s="128">
        <v>0</v>
      </c>
      <c r="Q388" s="128">
        <v>0</v>
      </c>
      <c r="R388" s="128">
        <v>0</v>
      </c>
      <c r="S388" s="128">
        <f t="shared" si="168"/>
        <v>9842279.3499999996</v>
      </c>
      <c r="T388" s="128">
        <f t="shared" si="167"/>
        <v>3269.3171732270384</v>
      </c>
      <c r="U388" s="128">
        <v>3269.32</v>
      </c>
      <c r="V388" s="129"/>
    </row>
    <row r="389" spans="1:22" ht="35.25" x14ac:dyDescent="0.5">
      <c r="A389">
        <v>1</v>
      </c>
      <c r="B389" s="131">
        <f>SUBTOTAL(9,$A$338:A389)</f>
        <v>49</v>
      </c>
      <c r="C389" s="10" t="s">
        <v>410</v>
      </c>
      <c r="D389" s="27"/>
      <c r="E389" s="123">
        <v>1989</v>
      </c>
      <c r="F389" s="123" t="s">
        <v>420</v>
      </c>
      <c r="G389" s="123">
        <v>2</v>
      </c>
      <c r="H389" s="123" t="s">
        <v>327</v>
      </c>
      <c r="I389" s="124">
        <v>917.6</v>
      </c>
      <c r="J389" s="124">
        <v>833.4</v>
      </c>
      <c r="K389" s="125">
        <v>18</v>
      </c>
      <c r="L389" s="123" t="s">
        <v>418</v>
      </c>
      <c r="M389" s="123" t="s">
        <v>424</v>
      </c>
      <c r="N389" s="126" t="s">
        <v>483</v>
      </c>
      <c r="O389" s="128">
        <v>12082923.319999998</v>
      </c>
      <c r="P389" s="128">
        <v>0</v>
      </c>
      <c r="Q389" s="128">
        <v>0</v>
      </c>
      <c r="R389" s="128">
        <v>0</v>
      </c>
      <c r="S389" s="128">
        <f t="shared" si="168"/>
        <v>12082923.319999998</v>
      </c>
      <c r="T389" s="128">
        <f t="shared" si="167"/>
        <v>13167.963513513512</v>
      </c>
      <c r="U389" s="128">
        <v>13167.963513513512</v>
      </c>
      <c r="V389" s="129"/>
    </row>
    <row r="390" spans="1:22" ht="35.25" x14ac:dyDescent="0.5">
      <c r="A390">
        <v>1</v>
      </c>
      <c r="B390" s="131">
        <f>SUBTOTAL(9,$A$338:A390)</f>
        <v>50</v>
      </c>
      <c r="C390" s="10" t="s">
        <v>389</v>
      </c>
      <c r="D390" s="27"/>
      <c r="E390" s="123">
        <v>1968</v>
      </c>
      <c r="F390" s="123" t="s">
        <v>420</v>
      </c>
      <c r="G390" s="123">
        <v>5</v>
      </c>
      <c r="H390" s="123" t="s">
        <v>324</v>
      </c>
      <c r="I390" s="124">
        <v>5817.61</v>
      </c>
      <c r="J390" s="124">
        <v>4120.28</v>
      </c>
      <c r="K390" s="125">
        <v>260</v>
      </c>
      <c r="L390" s="123" t="s">
        <v>418</v>
      </c>
      <c r="M390" s="123" t="s">
        <v>424</v>
      </c>
      <c r="N390" s="126" t="s">
        <v>476</v>
      </c>
      <c r="O390" s="128">
        <v>18706376.049999997</v>
      </c>
      <c r="P390" s="128">
        <v>0</v>
      </c>
      <c r="Q390" s="128">
        <v>0</v>
      </c>
      <c r="R390" s="128">
        <v>0</v>
      </c>
      <c r="S390" s="128">
        <f t="shared" si="168"/>
        <v>18706376.049999997</v>
      </c>
      <c r="T390" s="128">
        <f t="shared" si="167"/>
        <v>3215.4744044375607</v>
      </c>
      <c r="U390" s="128">
        <v>3275.97</v>
      </c>
      <c r="V390" s="129"/>
    </row>
    <row r="391" spans="1:22" ht="70.5" x14ac:dyDescent="0.5">
      <c r="A391">
        <v>1</v>
      </c>
      <c r="B391" s="131">
        <f>SUBTOTAL(9,$A$338:A391)</f>
        <v>51</v>
      </c>
      <c r="C391" s="10" t="s">
        <v>412</v>
      </c>
      <c r="D391" s="27"/>
      <c r="E391" s="123">
        <v>1991</v>
      </c>
      <c r="F391" s="123" t="s">
        <v>421</v>
      </c>
      <c r="G391" s="123">
        <v>4</v>
      </c>
      <c r="H391" s="123" t="s">
        <v>320</v>
      </c>
      <c r="I391" s="124">
        <v>1882</v>
      </c>
      <c r="J391" s="124">
        <v>1701.7</v>
      </c>
      <c r="K391" s="125">
        <v>87</v>
      </c>
      <c r="L391" s="123" t="s">
        <v>418</v>
      </c>
      <c r="M391" s="123" t="s">
        <v>424</v>
      </c>
      <c r="N391" s="126" t="s">
        <v>475</v>
      </c>
      <c r="O391" s="128">
        <v>7635849.8399999999</v>
      </c>
      <c r="P391" s="128">
        <v>0</v>
      </c>
      <c r="Q391" s="128">
        <v>0</v>
      </c>
      <c r="R391" s="128">
        <v>0</v>
      </c>
      <c r="S391" s="128">
        <f t="shared" si="168"/>
        <v>7635849.8399999999</v>
      </c>
      <c r="T391" s="128">
        <f t="shared" si="167"/>
        <v>4057.3059723698193</v>
      </c>
      <c r="U391" s="128">
        <v>4057.31</v>
      </c>
      <c r="V391" s="129"/>
    </row>
    <row r="392" spans="1:22" ht="35.25" x14ac:dyDescent="0.5">
      <c r="A392">
        <v>1</v>
      </c>
      <c r="B392" s="131">
        <f>SUBTOTAL(9,$A$338:A392)</f>
        <v>52</v>
      </c>
      <c r="C392" s="10" t="s">
        <v>398</v>
      </c>
      <c r="D392" s="27"/>
      <c r="E392" s="123">
        <v>1984</v>
      </c>
      <c r="F392" s="123" t="s">
        <v>420</v>
      </c>
      <c r="G392" s="123">
        <v>5</v>
      </c>
      <c r="H392" s="123" t="s">
        <v>318</v>
      </c>
      <c r="I392" s="124">
        <v>4398.6000000000004</v>
      </c>
      <c r="J392" s="124">
        <v>2297.1999999999998</v>
      </c>
      <c r="K392" s="125">
        <v>152</v>
      </c>
      <c r="L392" s="123" t="s">
        <v>418</v>
      </c>
      <c r="M392" s="123" t="s">
        <v>424</v>
      </c>
      <c r="N392" s="126" t="s">
        <v>477</v>
      </c>
      <c r="O392" s="128">
        <v>14782819.050000001</v>
      </c>
      <c r="P392" s="128">
        <v>0</v>
      </c>
      <c r="Q392" s="128">
        <v>0</v>
      </c>
      <c r="R392" s="128">
        <v>0</v>
      </c>
      <c r="S392" s="128">
        <f t="shared" si="168"/>
        <v>14782819.050000001</v>
      </c>
      <c r="T392" s="128">
        <f t="shared" si="167"/>
        <v>3360.8009480289184</v>
      </c>
      <c r="U392" s="128">
        <v>3360.8</v>
      </c>
      <c r="V392" s="129"/>
    </row>
    <row r="393" spans="1:22" ht="35.25" x14ac:dyDescent="0.5">
      <c r="A393">
        <v>1</v>
      </c>
      <c r="B393" s="131">
        <f>SUBTOTAL(9,$A$338:A393)</f>
        <v>53</v>
      </c>
      <c r="C393" s="10" t="s">
        <v>390</v>
      </c>
      <c r="D393" s="27"/>
      <c r="E393" s="123">
        <v>1988</v>
      </c>
      <c r="F393" s="123" t="s">
        <v>420</v>
      </c>
      <c r="G393" s="123">
        <v>5</v>
      </c>
      <c r="H393" s="123" t="s">
        <v>321</v>
      </c>
      <c r="I393" s="124">
        <v>7170.6</v>
      </c>
      <c r="J393" s="124">
        <v>5407.6</v>
      </c>
      <c r="K393" s="125">
        <v>236</v>
      </c>
      <c r="L393" s="123" t="s">
        <v>418</v>
      </c>
      <c r="M393" s="123" t="s">
        <v>424</v>
      </c>
      <c r="N393" s="126" t="s">
        <v>478</v>
      </c>
      <c r="O393" s="128">
        <v>20473493.050000001</v>
      </c>
      <c r="P393" s="128">
        <v>0</v>
      </c>
      <c r="Q393" s="128">
        <v>0</v>
      </c>
      <c r="R393" s="128">
        <v>0</v>
      </c>
      <c r="S393" s="128">
        <f t="shared" si="168"/>
        <v>20473493.050000001</v>
      </c>
      <c r="T393" s="128">
        <f t="shared" si="167"/>
        <v>2855.1994324045409</v>
      </c>
      <c r="U393" s="128">
        <v>2855.2</v>
      </c>
      <c r="V393" s="129"/>
    </row>
    <row r="394" spans="1:22" ht="35.25" x14ac:dyDescent="0.5">
      <c r="A394">
        <v>1</v>
      </c>
      <c r="B394" s="131">
        <f>SUBTOTAL(9,$A$338:A394)</f>
        <v>54</v>
      </c>
      <c r="C394" s="10" t="s">
        <v>396</v>
      </c>
      <c r="D394" s="27"/>
      <c r="E394" s="123">
        <v>1973</v>
      </c>
      <c r="F394" s="123" t="s">
        <v>420</v>
      </c>
      <c r="G394" s="123">
        <v>5</v>
      </c>
      <c r="H394" s="123" t="s">
        <v>321</v>
      </c>
      <c r="I394" s="124">
        <v>7803.4</v>
      </c>
      <c r="J394" s="124">
        <v>5998.8</v>
      </c>
      <c r="K394" s="125">
        <v>256</v>
      </c>
      <c r="L394" s="123" t="s">
        <v>418</v>
      </c>
      <c r="M394" s="123" t="s">
        <v>424</v>
      </c>
      <c r="N394" s="126" t="s">
        <v>480</v>
      </c>
      <c r="O394" s="128">
        <v>26150690.599999998</v>
      </c>
      <c r="P394" s="128">
        <v>0</v>
      </c>
      <c r="Q394" s="128">
        <v>0</v>
      </c>
      <c r="R394" s="128">
        <v>0</v>
      </c>
      <c r="S394" s="128">
        <f t="shared" si="168"/>
        <v>26150690.599999998</v>
      </c>
      <c r="T394" s="128">
        <f t="shared" si="167"/>
        <v>3351.1918650844505</v>
      </c>
      <c r="U394" s="128">
        <v>3414.24</v>
      </c>
      <c r="V394" s="129"/>
    </row>
    <row r="395" spans="1:22" ht="35.25" x14ac:dyDescent="0.5">
      <c r="A395">
        <v>1</v>
      </c>
      <c r="B395" s="131">
        <f>SUBTOTAL(9,$A$338:A395)</f>
        <v>55</v>
      </c>
      <c r="C395" s="10" t="s">
        <v>388</v>
      </c>
      <c r="D395" s="27"/>
      <c r="E395" s="123">
        <v>1971</v>
      </c>
      <c r="F395" s="123" t="s">
        <v>420</v>
      </c>
      <c r="G395" s="123">
        <v>5</v>
      </c>
      <c r="H395" s="123" t="s">
        <v>322</v>
      </c>
      <c r="I395" s="124">
        <v>4341.5</v>
      </c>
      <c r="J395" s="124">
        <v>3356.8</v>
      </c>
      <c r="K395" s="125">
        <v>167</v>
      </c>
      <c r="L395" s="123" t="s">
        <v>418</v>
      </c>
      <c r="M395" s="123" t="s">
        <v>424</v>
      </c>
      <c r="N395" s="126" t="s">
        <v>480</v>
      </c>
      <c r="O395" s="128">
        <v>14322029.199999999</v>
      </c>
      <c r="P395" s="128">
        <v>0</v>
      </c>
      <c r="Q395" s="128">
        <v>0</v>
      </c>
      <c r="R395" s="128">
        <v>0</v>
      </c>
      <c r="S395" s="128">
        <f t="shared" si="168"/>
        <v>14322029.199999999</v>
      </c>
      <c r="T395" s="128">
        <f t="shared" si="167"/>
        <v>3298.8665668547737</v>
      </c>
      <c r="U395" s="128">
        <v>3419.9</v>
      </c>
      <c r="V395" s="129"/>
    </row>
    <row r="396" spans="1:22" ht="35.25" x14ac:dyDescent="0.5">
      <c r="A396">
        <v>1</v>
      </c>
      <c r="B396" s="131">
        <f>SUBTOTAL(9,$A$338:A396)</f>
        <v>56</v>
      </c>
      <c r="C396" s="10" t="s">
        <v>629</v>
      </c>
      <c r="D396" s="27"/>
      <c r="E396" s="123">
        <v>1983</v>
      </c>
      <c r="F396" s="123" t="s">
        <v>421</v>
      </c>
      <c r="G396" s="123">
        <v>4</v>
      </c>
      <c r="H396" s="123">
        <v>3</v>
      </c>
      <c r="I396" s="124">
        <v>2104.6999999999998</v>
      </c>
      <c r="J396" s="124">
        <v>1905.5</v>
      </c>
      <c r="K396" s="125">
        <v>75</v>
      </c>
      <c r="L396" s="123" t="s">
        <v>418</v>
      </c>
      <c r="M396" s="123" t="s">
        <v>424</v>
      </c>
      <c r="N396" s="126" t="s">
        <v>479</v>
      </c>
      <c r="O396" s="128">
        <v>250000</v>
      </c>
      <c r="P396" s="128">
        <v>0</v>
      </c>
      <c r="Q396" s="128">
        <v>0</v>
      </c>
      <c r="R396" s="128">
        <v>0</v>
      </c>
      <c r="S396" s="128">
        <f t="shared" ref="S396" si="169">O396-P396-Q396-R396</f>
        <v>250000</v>
      </c>
      <c r="T396" s="128">
        <f t="shared" si="167"/>
        <v>118.78177412457833</v>
      </c>
      <c r="U396" s="128">
        <f>T396</f>
        <v>118.78177412457833</v>
      </c>
      <c r="V396" s="129"/>
    </row>
    <row r="397" spans="1:22" ht="35.25" x14ac:dyDescent="0.5">
      <c r="B397" s="145" t="s">
        <v>678</v>
      </c>
      <c r="C397" s="145"/>
      <c r="D397" s="123" t="s">
        <v>423</v>
      </c>
      <c r="E397" s="123" t="s">
        <v>423</v>
      </c>
      <c r="F397" s="123" t="s">
        <v>423</v>
      </c>
      <c r="G397" s="123" t="s">
        <v>423</v>
      </c>
      <c r="H397" s="123" t="s">
        <v>423</v>
      </c>
      <c r="I397" s="124">
        <f>SUM(I398:I410)</f>
        <v>50241.880000000005</v>
      </c>
      <c r="J397" s="124">
        <f>SUM(J398:J410)</f>
        <v>39147.859999999993</v>
      </c>
      <c r="K397" s="125">
        <f>SUM(K398:K410)</f>
        <v>1875</v>
      </c>
      <c r="L397" s="123" t="s">
        <v>423</v>
      </c>
      <c r="M397" s="123" t="s">
        <v>423</v>
      </c>
      <c r="N397" s="126" t="s">
        <v>423</v>
      </c>
      <c r="O397" s="127">
        <f>SUM(O398:O410)</f>
        <v>157618575.54000002</v>
      </c>
      <c r="P397" s="127">
        <f>SUM(P398:P410)</f>
        <v>0</v>
      </c>
      <c r="Q397" s="127">
        <f>SUM(Q398:Q410)</f>
        <v>0</v>
      </c>
      <c r="R397" s="127">
        <f>SUM(R398:R410)</f>
        <v>0</v>
      </c>
      <c r="S397" s="127">
        <f>SUM(S398:S410)</f>
        <v>157618575.54000002</v>
      </c>
      <c r="T397" s="128">
        <f t="shared" si="167"/>
        <v>3137.1950161896812</v>
      </c>
      <c r="U397" s="128">
        <f>MAX(U398:U410)</f>
        <v>21472.45</v>
      </c>
      <c r="V397" s="129"/>
    </row>
    <row r="398" spans="1:22" ht="35.25" x14ac:dyDescent="0.5">
      <c r="A398">
        <v>1</v>
      </c>
      <c r="B398" s="131">
        <f>SUBTOTAL(9,$A$338:A398)</f>
        <v>57</v>
      </c>
      <c r="C398" s="10" t="s">
        <v>344</v>
      </c>
      <c r="D398" s="27"/>
      <c r="E398" s="123">
        <v>1967</v>
      </c>
      <c r="F398" s="123" t="s">
        <v>421</v>
      </c>
      <c r="G398" s="123">
        <v>5</v>
      </c>
      <c r="H398" s="123" t="s">
        <v>322</v>
      </c>
      <c r="I398" s="124">
        <v>2906.96</v>
      </c>
      <c r="J398" s="124">
        <v>2618.8000000000002</v>
      </c>
      <c r="K398" s="125">
        <v>142</v>
      </c>
      <c r="L398" s="123" t="s">
        <v>418</v>
      </c>
      <c r="M398" s="123" t="s">
        <v>424</v>
      </c>
      <c r="N398" s="126" t="s">
        <v>495</v>
      </c>
      <c r="O398" s="128">
        <v>9480145.5600000005</v>
      </c>
      <c r="P398" s="128">
        <v>0</v>
      </c>
      <c r="Q398" s="128">
        <v>0</v>
      </c>
      <c r="R398" s="128">
        <v>0</v>
      </c>
      <c r="S398" s="128">
        <f t="shared" ref="S398:S410" si="170">O398-P398-Q398-R398</f>
        <v>9480145.5600000005</v>
      </c>
      <c r="T398" s="128">
        <f t="shared" si="167"/>
        <v>3261.1888570878168</v>
      </c>
      <c r="U398" s="128">
        <v>3261.19</v>
      </c>
      <c r="V398" s="129"/>
    </row>
    <row r="399" spans="1:22" ht="35.25" x14ac:dyDescent="0.5">
      <c r="A399">
        <v>1</v>
      </c>
      <c r="B399" s="131">
        <f>SUBTOTAL(9,$A$338:A399)</f>
        <v>58</v>
      </c>
      <c r="C399" s="10" t="s">
        <v>334</v>
      </c>
      <c r="D399" s="27"/>
      <c r="E399" s="123">
        <v>1993</v>
      </c>
      <c r="F399" s="123" t="s">
        <v>421</v>
      </c>
      <c r="G399" s="123">
        <v>9</v>
      </c>
      <c r="H399" s="123" t="s">
        <v>324</v>
      </c>
      <c r="I399" s="124">
        <v>11836.7</v>
      </c>
      <c r="J399" s="124">
        <v>10439.700000000001</v>
      </c>
      <c r="K399" s="125">
        <v>544</v>
      </c>
      <c r="L399" s="123" t="s">
        <v>418</v>
      </c>
      <c r="M399" s="123" t="s">
        <v>424</v>
      </c>
      <c r="N399" s="126" t="s">
        <v>495</v>
      </c>
      <c r="O399" s="128">
        <v>22696735.919999998</v>
      </c>
      <c r="P399" s="128">
        <v>0</v>
      </c>
      <c r="Q399" s="128">
        <v>0</v>
      </c>
      <c r="R399" s="128">
        <v>0</v>
      </c>
      <c r="S399" s="128">
        <f t="shared" si="170"/>
        <v>22696735.919999998</v>
      </c>
      <c r="T399" s="128">
        <f t="shared" si="167"/>
        <v>1917.4884824317585</v>
      </c>
      <c r="U399" s="128">
        <v>1917.49</v>
      </c>
      <c r="V399" s="129"/>
    </row>
    <row r="400" spans="1:22" ht="35.25" x14ac:dyDescent="0.5">
      <c r="A400">
        <v>1</v>
      </c>
      <c r="B400" s="131">
        <f>SUBTOTAL(9,$A$338:A400)</f>
        <v>59</v>
      </c>
      <c r="C400" s="10" t="s">
        <v>339</v>
      </c>
      <c r="D400" s="27"/>
      <c r="E400" s="123">
        <v>1971</v>
      </c>
      <c r="F400" s="123" t="s">
        <v>420</v>
      </c>
      <c r="G400" s="123">
        <v>5</v>
      </c>
      <c r="H400" s="123">
        <v>4</v>
      </c>
      <c r="I400" s="124">
        <v>3906.16</v>
      </c>
      <c r="J400" s="124">
        <v>3356.87</v>
      </c>
      <c r="K400" s="125">
        <v>131</v>
      </c>
      <c r="L400" s="123" t="s">
        <v>418</v>
      </c>
      <c r="M400" s="123" t="s">
        <v>424</v>
      </c>
      <c r="N400" s="126" t="s">
        <v>492</v>
      </c>
      <c r="O400" s="128">
        <v>12105615.6</v>
      </c>
      <c r="P400" s="128">
        <v>0</v>
      </c>
      <c r="Q400" s="128">
        <v>0</v>
      </c>
      <c r="R400" s="128">
        <v>0</v>
      </c>
      <c r="S400" s="128">
        <f t="shared" si="170"/>
        <v>12105615.6</v>
      </c>
      <c r="T400" s="128">
        <f t="shared" si="167"/>
        <v>3099.1089970712924</v>
      </c>
      <c r="U400" s="128">
        <v>3099.11</v>
      </c>
      <c r="V400" s="129"/>
    </row>
    <row r="401" spans="1:22" ht="35.25" x14ac:dyDescent="0.5">
      <c r="A401">
        <v>1</v>
      </c>
      <c r="B401" s="131">
        <f>SUBTOTAL(9,$A$338:A401)</f>
        <v>60</v>
      </c>
      <c r="C401" s="10" t="s">
        <v>332</v>
      </c>
      <c r="D401" s="27"/>
      <c r="E401" s="123">
        <v>1989</v>
      </c>
      <c r="F401" s="123" t="s">
        <v>420</v>
      </c>
      <c r="G401" s="123">
        <v>9</v>
      </c>
      <c r="H401" s="123" t="s">
        <v>320</v>
      </c>
      <c r="I401" s="124">
        <v>6915.9</v>
      </c>
      <c r="J401" s="124">
        <v>3983.79</v>
      </c>
      <c r="K401" s="125">
        <v>173</v>
      </c>
      <c r="L401" s="123" t="s">
        <v>418</v>
      </c>
      <c r="M401" s="123" t="s">
        <v>424</v>
      </c>
      <c r="N401" s="126" t="s">
        <v>492</v>
      </c>
      <c r="O401" s="128">
        <v>9182678.5</v>
      </c>
      <c r="P401" s="128">
        <v>0</v>
      </c>
      <c r="Q401" s="128">
        <v>0</v>
      </c>
      <c r="R401" s="128">
        <v>0</v>
      </c>
      <c r="S401" s="128">
        <f t="shared" si="170"/>
        <v>9182678.5</v>
      </c>
      <c r="T401" s="128">
        <f t="shared" si="167"/>
        <v>1327.7633424427768</v>
      </c>
      <c r="U401" s="128">
        <v>1327.76</v>
      </c>
      <c r="V401" s="129"/>
    </row>
    <row r="402" spans="1:22" ht="35.25" x14ac:dyDescent="0.5">
      <c r="A402">
        <v>1</v>
      </c>
      <c r="B402" s="131">
        <f>SUBTOTAL(9,$A$338:A402)</f>
        <v>61</v>
      </c>
      <c r="C402" s="10" t="s">
        <v>337</v>
      </c>
      <c r="D402" s="27"/>
      <c r="E402" s="123">
        <v>1975</v>
      </c>
      <c r="F402" s="123" t="s">
        <v>420</v>
      </c>
      <c r="G402" s="123">
        <v>5</v>
      </c>
      <c r="H402" s="123" t="s">
        <v>335</v>
      </c>
      <c r="I402" s="124">
        <v>4984.5</v>
      </c>
      <c r="J402" s="124">
        <v>3753.2</v>
      </c>
      <c r="K402" s="125">
        <v>168</v>
      </c>
      <c r="L402" s="123" t="s">
        <v>418</v>
      </c>
      <c r="M402" s="123" t="s">
        <v>424</v>
      </c>
      <c r="N402" s="126" t="s">
        <v>502</v>
      </c>
      <c r="O402" s="128">
        <v>15028476</v>
      </c>
      <c r="P402" s="128">
        <v>0</v>
      </c>
      <c r="Q402" s="128">
        <v>0</v>
      </c>
      <c r="R402" s="128">
        <v>0</v>
      </c>
      <c r="S402" s="128">
        <f t="shared" si="170"/>
        <v>15028476</v>
      </c>
      <c r="T402" s="128">
        <f t="shared" si="167"/>
        <v>3015.0418296719831</v>
      </c>
      <c r="U402" s="128">
        <v>3308.26</v>
      </c>
      <c r="V402" s="129"/>
    </row>
    <row r="403" spans="1:22" ht="35.25" x14ac:dyDescent="0.5">
      <c r="A403">
        <v>1</v>
      </c>
      <c r="B403" s="131">
        <f>SUBTOTAL(9,$A$338:A403)</f>
        <v>62</v>
      </c>
      <c r="C403" s="10" t="s">
        <v>677</v>
      </c>
      <c r="D403" s="27"/>
      <c r="E403" s="123">
        <v>2005</v>
      </c>
      <c r="F403" s="123" t="s">
        <v>420</v>
      </c>
      <c r="G403" s="123">
        <v>9</v>
      </c>
      <c r="H403" s="123">
        <v>2</v>
      </c>
      <c r="I403" s="124">
        <v>4866.3</v>
      </c>
      <c r="J403" s="124">
        <v>4317.5</v>
      </c>
      <c r="K403" s="125">
        <v>234</v>
      </c>
      <c r="L403" s="123" t="s">
        <v>418</v>
      </c>
      <c r="M403" s="123" t="s">
        <v>427</v>
      </c>
      <c r="N403" s="126" t="s">
        <v>687</v>
      </c>
      <c r="O403" s="128">
        <v>8326563</v>
      </c>
      <c r="P403" s="128">
        <v>0</v>
      </c>
      <c r="Q403" s="128">
        <v>0</v>
      </c>
      <c r="R403" s="128">
        <v>0</v>
      </c>
      <c r="S403" s="128">
        <f t="shared" si="170"/>
        <v>8326563</v>
      </c>
      <c r="T403" s="128">
        <f t="shared" si="167"/>
        <v>1711.0665187103136</v>
      </c>
      <c r="U403" s="128">
        <f>T403</f>
        <v>1711.0665187103136</v>
      </c>
      <c r="V403" s="129"/>
    </row>
    <row r="404" spans="1:22" ht="35.25" x14ac:dyDescent="0.5">
      <c r="A404">
        <v>1</v>
      </c>
      <c r="B404" s="131">
        <f>SUBTOTAL(9,$A$338:A404)</f>
        <v>63</v>
      </c>
      <c r="C404" s="10" t="s">
        <v>356</v>
      </c>
      <c r="D404" s="27"/>
      <c r="E404" s="123">
        <v>1951</v>
      </c>
      <c r="F404" s="123" t="s">
        <v>420</v>
      </c>
      <c r="G404" s="123">
        <v>2</v>
      </c>
      <c r="H404" s="123" t="s">
        <v>320</v>
      </c>
      <c r="I404" s="124">
        <v>734</v>
      </c>
      <c r="J404" s="124">
        <v>672.6</v>
      </c>
      <c r="K404" s="125">
        <v>26</v>
      </c>
      <c r="L404" s="123" t="s">
        <v>418</v>
      </c>
      <c r="M404" s="123" t="s">
        <v>424</v>
      </c>
      <c r="N404" s="126" t="s">
        <v>438</v>
      </c>
      <c r="O404" s="128">
        <v>14760776.110000001</v>
      </c>
      <c r="P404" s="128">
        <v>0</v>
      </c>
      <c r="Q404" s="128">
        <v>0</v>
      </c>
      <c r="R404" s="128">
        <v>0</v>
      </c>
      <c r="S404" s="128">
        <f t="shared" si="170"/>
        <v>14760776.110000001</v>
      </c>
      <c r="T404" s="128">
        <f t="shared" si="167"/>
        <v>20110.049196185289</v>
      </c>
      <c r="U404" s="128">
        <v>21472.45</v>
      </c>
      <c r="V404" s="129"/>
    </row>
    <row r="405" spans="1:22" ht="35.25" x14ac:dyDescent="0.5">
      <c r="A405">
        <v>1</v>
      </c>
      <c r="B405" s="131">
        <f>SUBTOTAL(9,$A$338:A405)</f>
        <v>64</v>
      </c>
      <c r="C405" s="10" t="s">
        <v>355</v>
      </c>
      <c r="D405" s="27"/>
      <c r="E405" s="123">
        <v>1952</v>
      </c>
      <c r="F405" s="123" t="s">
        <v>420</v>
      </c>
      <c r="G405" s="123">
        <v>2</v>
      </c>
      <c r="H405" s="123" t="s">
        <v>320</v>
      </c>
      <c r="I405" s="124">
        <v>885.8</v>
      </c>
      <c r="J405" s="124">
        <v>819.7</v>
      </c>
      <c r="K405" s="125">
        <v>31</v>
      </c>
      <c r="L405" s="123" t="s">
        <v>418</v>
      </c>
      <c r="M405" s="123" t="s">
        <v>425</v>
      </c>
      <c r="N405" s="126" t="s">
        <v>426</v>
      </c>
      <c r="O405" s="128">
        <v>16360997.43</v>
      </c>
      <c r="P405" s="128">
        <v>0</v>
      </c>
      <c r="Q405" s="128">
        <v>0</v>
      </c>
      <c r="R405" s="128">
        <v>0</v>
      </c>
      <c r="S405" s="128">
        <f t="shared" si="170"/>
        <v>16360997.43</v>
      </c>
      <c r="T405" s="128">
        <f t="shared" si="167"/>
        <v>18470.306423571914</v>
      </c>
      <c r="U405" s="128">
        <v>19873.18</v>
      </c>
      <c r="V405" s="129"/>
    </row>
    <row r="406" spans="1:22" ht="35.25" x14ac:dyDescent="0.5">
      <c r="A406">
        <v>1</v>
      </c>
      <c r="B406" s="131">
        <f>SUBTOTAL(9,$A$338:A406)</f>
        <v>65</v>
      </c>
      <c r="C406" s="10" t="s">
        <v>350</v>
      </c>
      <c r="D406" s="27"/>
      <c r="E406" s="123">
        <v>1976</v>
      </c>
      <c r="F406" s="123" t="s">
        <v>420</v>
      </c>
      <c r="G406" s="123">
        <v>5</v>
      </c>
      <c r="H406" s="123" t="s">
        <v>324</v>
      </c>
      <c r="I406" s="124">
        <v>7511.5</v>
      </c>
      <c r="J406" s="124">
        <v>4424.8</v>
      </c>
      <c r="K406" s="125">
        <v>194</v>
      </c>
      <c r="L406" s="123" t="s">
        <v>418</v>
      </c>
      <c r="M406" s="123" t="s">
        <v>424</v>
      </c>
      <c r="N406" s="126" t="s">
        <v>496</v>
      </c>
      <c r="O406" s="128">
        <v>18432428.520000003</v>
      </c>
      <c r="P406" s="128">
        <v>0</v>
      </c>
      <c r="Q406" s="128">
        <v>0</v>
      </c>
      <c r="R406" s="128">
        <v>0</v>
      </c>
      <c r="S406" s="128">
        <f t="shared" si="170"/>
        <v>18432428.520000003</v>
      </c>
      <c r="T406" s="128">
        <f t="shared" si="167"/>
        <v>2453.8944977700862</v>
      </c>
      <c r="U406" s="128">
        <v>2500.06</v>
      </c>
      <c r="V406" s="129"/>
    </row>
    <row r="407" spans="1:22" ht="35.25" x14ac:dyDescent="0.5">
      <c r="A407">
        <v>1</v>
      </c>
      <c r="B407" s="131">
        <f>SUBTOTAL(9,$A$338:A407)</f>
        <v>66</v>
      </c>
      <c r="C407" s="10" t="s">
        <v>360</v>
      </c>
      <c r="D407" s="27"/>
      <c r="E407" s="123">
        <v>1978</v>
      </c>
      <c r="F407" s="123" t="s">
        <v>420</v>
      </c>
      <c r="G407" s="123">
        <v>3</v>
      </c>
      <c r="H407" s="123" t="s">
        <v>320</v>
      </c>
      <c r="I407" s="124">
        <v>1579.06</v>
      </c>
      <c r="J407" s="124">
        <v>1094.5999999999999</v>
      </c>
      <c r="K407" s="125">
        <v>61</v>
      </c>
      <c r="L407" s="123" t="s">
        <v>418</v>
      </c>
      <c r="M407" s="123" t="s">
        <v>424</v>
      </c>
      <c r="N407" s="126" t="s">
        <v>498</v>
      </c>
      <c r="O407" s="128">
        <v>8417729.5800000001</v>
      </c>
      <c r="P407" s="128">
        <v>0</v>
      </c>
      <c r="Q407" s="128">
        <v>0</v>
      </c>
      <c r="R407" s="128">
        <v>0</v>
      </c>
      <c r="S407" s="128">
        <f t="shared" si="170"/>
        <v>8417729.5800000001</v>
      </c>
      <c r="T407" s="128">
        <f t="shared" si="167"/>
        <v>5330.8484668093679</v>
      </c>
      <c r="U407" s="128">
        <v>5431.15</v>
      </c>
      <c r="V407" s="129"/>
    </row>
    <row r="408" spans="1:22" ht="35.25" x14ac:dyDescent="0.5">
      <c r="A408">
        <v>1</v>
      </c>
      <c r="B408" s="131">
        <f>SUBTOTAL(9,$A$338:A408)</f>
        <v>67</v>
      </c>
      <c r="C408" s="10" t="s">
        <v>718</v>
      </c>
      <c r="D408" s="27"/>
      <c r="E408" s="123">
        <v>1984</v>
      </c>
      <c r="F408" s="123" t="s">
        <v>420</v>
      </c>
      <c r="G408" s="123">
        <v>5</v>
      </c>
      <c r="H408" s="123" t="s">
        <v>322</v>
      </c>
      <c r="I408" s="124">
        <v>3162.5</v>
      </c>
      <c r="J408" s="124">
        <v>2737</v>
      </c>
      <c r="K408" s="125">
        <v>110</v>
      </c>
      <c r="L408" s="123" t="s">
        <v>418</v>
      </c>
      <c r="M408" s="123" t="s">
        <v>424</v>
      </c>
      <c r="N408" s="126" t="s">
        <v>497</v>
      </c>
      <c r="O408" s="128">
        <v>10953254.119999999</v>
      </c>
      <c r="P408" s="128">
        <v>0</v>
      </c>
      <c r="Q408" s="128">
        <v>0</v>
      </c>
      <c r="R408" s="128">
        <v>0</v>
      </c>
      <c r="S408" s="128">
        <f t="shared" si="170"/>
        <v>10953254.119999999</v>
      </c>
      <c r="T408" s="128">
        <f t="shared" si="167"/>
        <v>3463.4795636363633</v>
      </c>
      <c r="U408" s="128">
        <v>3463.48</v>
      </c>
      <c r="V408" s="129"/>
    </row>
    <row r="409" spans="1:22" ht="35.25" x14ac:dyDescent="0.5">
      <c r="A409">
        <v>1</v>
      </c>
      <c r="B409" s="131">
        <f>SUBTOTAL(9,$A$338:A409)</f>
        <v>68</v>
      </c>
      <c r="C409" s="10" t="s">
        <v>359</v>
      </c>
      <c r="D409" s="27"/>
      <c r="E409" s="123">
        <v>1967</v>
      </c>
      <c r="F409" s="123" t="s">
        <v>420</v>
      </c>
      <c r="G409" s="123">
        <v>2</v>
      </c>
      <c r="H409" s="123" t="s">
        <v>320</v>
      </c>
      <c r="I409" s="124">
        <v>390.6</v>
      </c>
      <c r="J409" s="124">
        <v>390.6</v>
      </c>
      <c r="K409" s="125">
        <v>30</v>
      </c>
      <c r="L409" s="123" t="s">
        <v>418</v>
      </c>
      <c r="M409" s="123" t="s">
        <v>425</v>
      </c>
      <c r="N409" s="126" t="s">
        <v>426</v>
      </c>
      <c r="O409" s="128">
        <v>4637304.5</v>
      </c>
      <c r="P409" s="128">
        <v>0</v>
      </c>
      <c r="Q409" s="128">
        <v>0</v>
      </c>
      <c r="R409" s="128">
        <v>0</v>
      </c>
      <c r="S409" s="128">
        <f t="shared" si="170"/>
        <v>4637304.5</v>
      </c>
      <c r="T409" s="128">
        <f t="shared" si="167"/>
        <v>11872.259344598053</v>
      </c>
      <c r="U409" s="128">
        <v>12095.63</v>
      </c>
      <c r="V409" s="129"/>
    </row>
    <row r="410" spans="1:22" ht="35.25" x14ac:dyDescent="0.5">
      <c r="A410">
        <v>1</v>
      </c>
      <c r="B410" s="131">
        <f>SUBTOTAL(9,$A$338:A410)</f>
        <v>69</v>
      </c>
      <c r="C410" s="10" t="s">
        <v>358</v>
      </c>
      <c r="D410" s="27"/>
      <c r="E410" s="123">
        <v>1986</v>
      </c>
      <c r="F410" s="123" t="s">
        <v>421</v>
      </c>
      <c r="G410" s="123">
        <v>2</v>
      </c>
      <c r="H410" s="123" t="s">
        <v>320</v>
      </c>
      <c r="I410" s="124">
        <v>561.9</v>
      </c>
      <c r="J410" s="124">
        <v>538.70000000000005</v>
      </c>
      <c r="K410" s="125">
        <v>31</v>
      </c>
      <c r="L410" s="123" t="s">
        <v>418</v>
      </c>
      <c r="M410" s="123" t="s">
        <v>425</v>
      </c>
      <c r="N410" s="126" t="s">
        <v>426</v>
      </c>
      <c r="O410" s="128">
        <v>7235870.7000000002</v>
      </c>
      <c r="P410" s="128">
        <v>0</v>
      </c>
      <c r="Q410" s="128">
        <v>0</v>
      </c>
      <c r="R410" s="128">
        <v>0</v>
      </c>
      <c r="S410" s="128">
        <f t="shared" si="170"/>
        <v>7235870.7000000002</v>
      </c>
      <c r="T410" s="128">
        <f t="shared" si="167"/>
        <v>12877.506139882542</v>
      </c>
      <c r="U410" s="128">
        <v>13119.79</v>
      </c>
      <c r="V410" s="129"/>
    </row>
    <row r="411" spans="1:22" ht="35.25" x14ac:dyDescent="0.5">
      <c r="B411" s="145" t="s">
        <v>503</v>
      </c>
      <c r="C411" s="145"/>
      <c r="D411" s="123" t="s">
        <v>423</v>
      </c>
      <c r="E411" s="123" t="s">
        <v>423</v>
      </c>
      <c r="F411" s="123" t="s">
        <v>423</v>
      </c>
      <c r="G411" s="123" t="s">
        <v>423</v>
      </c>
      <c r="H411" s="123" t="s">
        <v>423</v>
      </c>
      <c r="I411" s="124">
        <f>I412+I413+I414</f>
        <v>13173.8</v>
      </c>
      <c r="J411" s="124">
        <f t="shared" ref="J411:K411" si="171">J412+J413+J414</f>
        <v>12719.8</v>
      </c>
      <c r="K411" s="125">
        <f t="shared" si="171"/>
        <v>581</v>
      </c>
      <c r="L411" s="123" t="s">
        <v>423</v>
      </c>
      <c r="M411" s="123" t="s">
        <v>423</v>
      </c>
      <c r="N411" s="126" t="s">
        <v>423</v>
      </c>
      <c r="O411" s="128">
        <v>57437679.219999999</v>
      </c>
      <c r="P411" s="128">
        <f t="shared" ref="P411:S411" si="172">P412+P413+P414</f>
        <v>0</v>
      </c>
      <c r="Q411" s="128">
        <f t="shared" si="172"/>
        <v>0</v>
      </c>
      <c r="R411" s="128">
        <f t="shared" si="172"/>
        <v>0</v>
      </c>
      <c r="S411" s="128">
        <f t="shared" si="172"/>
        <v>57437679.219999999</v>
      </c>
      <c r="T411" s="128">
        <f t="shared" ref="T411:T418" si="173">O411/I411</f>
        <v>4359.9932608662648</v>
      </c>
      <c r="U411" s="128">
        <f>MAX(U412:U414)</f>
        <v>11978.1</v>
      </c>
      <c r="V411" s="129"/>
    </row>
    <row r="412" spans="1:22" ht="35.25" x14ac:dyDescent="0.5">
      <c r="A412">
        <v>1</v>
      </c>
      <c r="B412" s="131">
        <f>SUBTOTAL(9,$A$338:A412)</f>
        <v>70</v>
      </c>
      <c r="C412" s="10" t="s">
        <v>366</v>
      </c>
      <c r="D412" s="27"/>
      <c r="E412" s="123">
        <v>1977</v>
      </c>
      <c r="F412" s="123" t="s">
        <v>420</v>
      </c>
      <c r="G412" s="123">
        <v>5</v>
      </c>
      <c r="H412" s="123" t="s">
        <v>510</v>
      </c>
      <c r="I412" s="124">
        <v>10646.9</v>
      </c>
      <c r="J412" s="124">
        <v>10646.9</v>
      </c>
      <c r="K412" s="125">
        <v>475</v>
      </c>
      <c r="L412" s="123" t="s">
        <v>418</v>
      </c>
      <c r="M412" s="123" t="s">
        <v>424</v>
      </c>
      <c r="N412" s="126" t="s">
        <v>513</v>
      </c>
      <c r="O412" s="128">
        <v>38015148.920000002</v>
      </c>
      <c r="P412" s="128">
        <v>0</v>
      </c>
      <c r="Q412" s="128">
        <v>0</v>
      </c>
      <c r="R412" s="128">
        <v>0</v>
      </c>
      <c r="S412" s="128">
        <f t="shared" ref="S412:S418" si="174">O412-P412-Q412-R412</f>
        <v>38015148.920000002</v>
      </c>
      <c r="T412" s="128">
        <f t="shared" si="173"/>
        <v>3570.5368623730856</v>
      </c>
      <c r="U412" s="128">
        <v>4008.68</v>
      </c>
      <c r="V412" s="129"/>
    </row>
    <row r="413" spans="1:22" ht="35.25" x14ac:dyDescent="0.5">
      <c r="A413">
        <v>1</v>
      </c>
      <c r="B413" s="131">
        <f>SUBTOTAL(9,$A$338:A413)</f>
        <v>71</v>
      </c>
      <c r="C413" s="10" t="s">
        <v>367</v>
      </c>
      <c r="D413" s="27"/>
      <c r="E413" s="123">
        <v>1968</v>
      </c>
      <c r="F413" s="123" t="s">
        <v>420</v>
      </c>
      <c r="G413" s="123">
        <v>5</v>
      </c>
      <c r="H413" s="123" t="s">
        <v>318</v>
      </c>
      <c r="I413" s="124">
        <v>1663.1</v>
      </c>
      <c r="J413" s="124">
        <v>1209.0999999999999</v>
      </c>
      <c r="K413" s="125">
        <v>88</v>
      </c>
      <c r="L413" s="123" t="s">
        <v>418</v>
      </c>
      <c r="M413" s="123" t="s">
        <v>425</v>
      </c>
      <c r="N413" s="126" t="s">
        <v>426</v>
      </c>
      <c r="O413" s="128">
        <v>9266922.2999999989</v>
      </c>
      <c r="P413" s="128">
        <v>0</v>
      </c>
      <c r="Q413" s="128">
        <v>0</v>
      </c>
      <c r="R413" s="128">
        <v>0</v>
      </c>
      <c r="S413" s="128">
        <f t="shared" si="174"/>
        <v>9266922.2999999989</v>
      </c>
      <c r="T413" s="128">
        <f t="shared" si="173"/>
        <v>5572.0776261198962</v>
      </c>
      <c r="U413" s="128">
        <v>5676.96</v>
      </c>
      <c r="V413" s="129"/>
    </row>
    <row r="414" spans="1:22" ht="35.25" x14ac:dyDescent="0.5">
      <c r="A414">
        <v>1</v>
      </c>
      <c r="B414" s="131">
        <f>SUBTOTAL(9,$A$338:A414)</f>
        <v>72</v>
      </c>
      <c r="C414" s="10" t="s">
        <v>374</v>
      </c>
      <c r="D414" s="27"/>
      <c r="E414" s="123">
        <v>1979</v>
      </c>
      <c r="F414" s="123" t="s">
        <v>420</v>
      </c>
      <c r="G414" s="123">
        <v>2</v>
      </c>
      <c r="H414" s="123" t="s">
        <v>327</v>
      </c>
      <c r="I414" s="124">
        <v>863.8</v>
      </c>
      <c r="J414" s="124">
        <v>863.8</v>
      </c>
      <c r="K414" s="125">
        <v>18</v>
      </c>
      <c r="L414" s="123" t="s">
        <v>418</v>
      </c>
      <c r="M414" s="123" t="s">
        <v>424</v>
      </c>
      <c r="N414" s="126" t="s">
        <v>512</v>
      </c>
      <c r="O414" s="128">
        <v>10155608</v>
      </c>
      <c r="P414" s="128">
        <v>0</v>
      </c>
      <c r="Q414" s="128">
        <v>0</v>
      </c>
      <c r="R414" s="128">
        <v>0</v>
      </c>
      <c r="S414" s="128">
        <f t="shared" si="174"/>
        <v>10155608</v>
      </c>
      <c r="T414" s="128">
        <f t="shared" si="173"/>
        <v>11756.89742996064</v>
      </c>
      <c r="U414" s="128">
        <v>11978.1</v>
      </c>
      <c r="V414" s="129"/>
    </row>
    <row r="415" spans="1:22" ht="35.25" x14ac:dyDescent="0.5">
      <c r="B415" s="145" t="s">
        <v>507</v>
      </c>
      <c r="C415" s="145"/>
      <c r="D415" s="123" t="s">
        <v>423</v>
      </c>
      <c r="E415" s="123" t="s">
        <v>423</v>
      </c>
      <c r="F415" s="123" t="s">
        <v>423</v>
      </c>
      <c r="G415" s="123" t="s">
        <v>423</v>
      </c>
      <c r="H415" s="123" t="s">
        <v>423</v>
      </c>
      <c r="I415" s="124">
        <f>I416</f>
        <v>374.4</v>
      </c>
      <c r="J415" s="124">
        <f t="shared" ref="J415:K415" si="175">J416</f>
        <v>374.4</v>
      </c>
      <c r="K415" s="125">
        <f t="shared" si="175"/>
        <v>8</v>
      </c>
      <c r="L415" s="123" t="s">
        <v>423</v>
      </c>
      <c r="M415" s="123" t="s">
        <v>423</v>
      </c>
      <c r="N415" s="126" t="s">
        <v>423</v>
      </c>
      <c r="O415" s="128">
        <v>6652275.6299999999</v>
      </c>
      <c r="P415" s="128">
        <f t="shared" ref="P415:S415" si="176">P416</f>
        <v>0</v>
      </c>
      <c r="Q415" s="128">
        <f t="shared" si="176"/>
        <v>0</v>
      </c>
      <c r="R415" s="128">
        <f t="shared" si="176"/>
        <v>0</v>
      </c>
      <c r="S415" s="128">
        <f t="shared" si="176"/>
        <v>6652275.6299999999</v>
      </c>
      <c r="T415" s="128">
        <f t="shared" si="173"/>
        <v>17767.830208333333</v>
      </c>
      <c r="U415" s="128">
        <f>U416</f>
        <v>17767.830000000002</v>
      </c>
      <c r="V415" s="129"/>
    </row>
    <row r="416" spans="1:22" ht="35.25" x14ac:dyDescent="0.5">
      <c r="A416">
        <v>1</v>
      </c>
      <c r="B416" s="131">
        <f>SUBTOTAL(9,$A$338:A416)</f>
        <v>73</v>
      </c>
      <c r="C416" s="10" t="s">
        <v>373</v>
      </c>
      <c r="D416" s="27"/>
      <c r="E416" s="123">
        <v>1991</v>
      </c>
      <c r="F416" s="123" t="s">
        <v>420</v>
      </c>
      <c r="G416" s="123">
        <v>2</v>
      </c>
      <c r="H416" s="123" t="s">
        <v>318</v>
      </c>
      <c r="I416" s="124">
        <v>374.4</v>
      </c>
      <c r="J416" s="124">
        <v>374.4</v>
      </c>
      <c r="K416" s="125">
        <v>8</v>
      </c>
      <c r="L416" s="123" t="s">
        <v>418</v>
      </c>
      <c r="M416" s="123" t="s">
        <v>425</v>
      </c>
      <c r="N416" s="126" t="s">
        <v>426</v>
      </c>
      <c r="O416" s="128">
        <v>6652275.6299999999</v>
      </c>
      <c r="P416" s="128">
        <v>0</v>
      </c>
      <c r="Q416" s="128">
        <v>0</v>
      </c>
      <c r="R416" s="128">
        <v>0</v>
      </c>
      <c r="S416" s="128">
        <f t="shared" si="174"/>
        <v>6652275.6299999999</v>
      </c>
      <c r="T416" s="128">
        <f t="shared" si="173"/>
        <v>17767.830208333333</v>
      </c>
      <c r="U416" s="128">
        <v>17767.830000000002</v>
      </c>
      <c r="V416" s="129"/>
    </row>
    <row r="417" spans="1:22" ht="35.25" x14ac:dyDescent="0.5">
      <c r="B417" s="145" t="s">
        <v>509</v>
      </c>
      <c r="C417" s="145"/>
      <c r="D417" s="123" t="s">
        <v>423</v>
      </c>
      <c r="E417" s="123" t="s">
        <v>423</v>
      </c>
      <c r="F417" s="123" t="s">
        <v>423</v>
      </c>
      <c r="G417" s="123" t="s">
        <v>423</v>
      </c>
      <c r="H417" s="123" t="s">
        <v>423</v>
      </c>
      <c r="I417" s="124">
        <f>I418</f>
        <v>931.4</v>
      </c>
      <c r="J417" s="124">
        <f t="shared" ref="J417:K417" si="177">J418</f>
        <v>847.4</v>
      </c>
      <c r="K417" s="125">
        <f t="shared" si="177"/>
        <v>57</v>
      </c>
      <c r="L417" s="123" t="s">
        <v>423</v>
      </c>
      <c r="M417" s="123" t="s">
        <v>423</v>
      </c>
      <c r="N417" s="126" t="s">
        <v>423</v>
      </c>
      <c r="O417" s="128">
        <v>11298113.899999999</v>
      </c>
      <c r="P417" s="128">
        <f t="shared" ref="P417:S417" si="178">P418</f>
        <v>0</v>
      </c>
      <c r="Q417" s="128">
        <f t="shared" si="178"/>
        <v>0</v>
      </c>
      <c r="R417" s="128">
        <f t="shared" si="178"/>
        <v>0</v>
      </c>
      <c r="S417" s="128">
        <f t="shared" si="178"/>
        <v>11298113.899999999</v>
      </c>
      <c r="T417" s="128">
        <f t="shared" si="173"/>
        <v>12130.248980030061</v>
      </c>
      <c r="U417" s="128">
        <f>U418</f>
        <v>12358.47</v>
      </c>
      <c r="V417" s="129"/>
    </row>
    <row r="418" spans="1:22" ht="35.25" x14ac:dyDescent="0.5">
      <c r="A418">
        <v>1</v>
      </c>
      <c r="B418" s="131">
        <f>SUBTOTAL(9,$A$338:A418)</f>
        <v>74</v>
      </c>
      <c r="C418" s="10" t="s">
        <v>379</v>
      </c>
      <c r="D418" s="27"/>
      <c r="E418" s="123">
        <v>1972</v>
      </c>
      <c r="F418" s="123" t="s">
        <v>420</v>
      </c>
      <c r="G418" s="123">
        <v>2</v>
      </c>
      <c r="H418" s="123" t="s">
        <v>327</v>
      </c>
      <c r="I418" s="124">
        <v>931.4</v>
      </c>
      <c r="J418" s="124">
        <v>847.4</v>
      </c>
      <c r="K418" s="125">
        <v>57</v>
      </c>
      <c r="L418" s="123" t="s">
        <v>418</v>
      </c>
      <c r="M418" s="123" t="s">
        <v>427</v>
      </c>
      <c r="N418" s="126" t="s">
        <v>514</v>
      </c>
      <c r="O418" s="128">
        <v>11298113.899999999</v>
      </c>
      <c r="P418" s="128">
        <v>0</v>
      </c>
      <c r="Q418" s="128">
        <v>0</v>
      </c>
      <c r="R418" s="128">
        <v>0</v>
      </c>
      <c r="S418" s="128">
        <f t="shared" si="174"/>
        <v>11298113.899999999</v>
      </c>
      <c r="T418" s="128">
        <f t="shared" si="173"/>
        <v>12130.248980030061</v>
      </c>
      <c r="U418" s="128">
        <v>12358.47</v>
      </c>
      <c r="V418" s="129"/>
    </row>
    <row r="419" spans="1:22" ht="35.25" x14ac:dyDescent="0.5">
      <c r="B419" s="122" t="s">
        <v>692</v>
      </c>
      <c r="C419" s="130"/>
      <c r="D419" s="123" t="s">
        <v>423</v>
      </c>
      <c r="E419" s="123" t="s">
        <v>423</v>
      </c>
      <c r="F419" s="123" t="s">
        <v>423</v>
      </c>
      <c r="G419" s="123" t="s">
        <v>423</v>
      </c>
      <c r="H419" s="123" t="s">
        <v>423</v>
      </c>
      <c r="I419" s="124">
        <f>SUM(I420:I421)</f>
        <v>10366.200000000001</v>
      </c>
      <c r="J419" s="124">
        <f t="shared" ref="J419:K419" si="179">SUM(J420:J421)</f>
        <v>8003</v>
      </c>
      <c r="K419" s="125">
        <f t="shared" si="179"/>
        <v>241</v>
      </c>
      <c r="L419" s="123" t="s">
        <v>423</v>
      </c>
      <c r="M419" s="123" t="s">
        <v>423</v>
      </c>
      <c r="N419" s="126" t="s">
        <v>423</v>
      </c>
      <c r="O419" s="128">
        <v>30289101</v>
      </c>
      <c r="P419" s="128">
        <f t="shared" ref="P419:S419" si="180">SUM(P420:P421)</f>
        <v>0</v>
      </c>
      <c r="Q419" s="128">
        <f t="shared" si="180"/>
        <v>0</v>
      </c>
      <c r="R419" s="128">
        <f t="shared" si="180"/>
        <v>0</v>
      </c>
      <c r="S419" s="128">
        <f t="shared" si="180"/>
        <v>30289101</v>
      </c>
      <c r="T419" s="128">
        <f t="shared" ref="T419:T426" si="181">O419/I419</f>
        <v>2921.9097644266944</v>
      </c>
      <c r="U419" s="128">
        <f>MAX(U420:U421)</f>
        <v>3080.91</v>
      </c>
      <c r="V419" s="129"/>
    </row>
    <row r="420" spans="1:22" ht="35.25" x14ac:dyDescent="0.5">
      <c r="A420">
        <v>1</v>
      </c>
      <c r="B420" s="131">
        <f>SUBTOTAL(9,$A$338:A420)</f>
        <v>75</v>
      </c>
      <c r="C420" s="10" t="s">
        <v>174</v>
      </c>
      <c r="D420" s="123"/>
      <c r="E420" s="123">
        <v>1982</v>
      </c>
      <c r="F420" s="123" t="s">
        <v>420</v>
      </c>
      <c r="G420" s="123">
        <v>5</v>
      </c>
      <c r="H420" s="123" t="s">
        <v>321</v>
      </c>
      <c r="I420" s="124">
        <v>6393.4</v>
      </c>
      <c r="J420" s="124">
        <v>5209.3</v>
      </c>
      <c r="K420" s="125">
        <v>185</v>
      </c>
      <c r="L420" s="123" t="s">
        <v>418</v>
      </c>
      <c r="M420" s="123" t="s">
        <v>424</v>
      </c>
      <c r="N420" s="126" t="s">
        <v>441</v>
      </c>
      <c r="O420" s="128">
        <v>19333739</v>
      </c>
      <c r="P420" s="128">
        <v>0</v>
      </c>
      <c r="Q420" s="128">
        <v>0</v>
      </c>
      <c r="R420" s="128">
        <v>0</v>
      </c>
      <c r="S420" s="128">
        <f t="shared" ref="S420:S426" si="182">O420-P420-Q420-R420</f>
        <v>19333739</v>
      </c>
      <c r="T420" s="128">
        <f t="shared" si="181"/>
        <v>3024.0152344605376</v>
      </c>
      <c r="U420" s="128">
        <v>3080.91</v>
      </c>
      <c r="V420" s="129"/>
    </row>
    <row r="421" spans="1:22" ht="35.25" x14ac:dyDescent="0.5">
      <c r="A421">
        <v>1</v>
      </c>
      <c r="B421" s="131">
        <f>SUBTOTAL(9,$A$338:A421)</f>
        <v>76</v>
      </c>
      <c r="C421" s="10" t="s">
        <v>175</v>
      </c>
      <c r="D421" s="123"/>
      <c r="E421" s="123">
        <v>1980</v>
      </c>
      <c r="F421" s="123" t="s">
        <v>420</v>
      </c>
      <c r="G421" s="123">
        <v>5</v>
      </c>
      <c r="H421" s="123" t="s">
        <v>322</v>
      </c>
      <c r="I421" s="124">
        <v>3972.8</v>
      </c>
      <c r="J421" s="124">
        <v>2793.7</v>
      </c>
      <c r="K421" s="125">
        <v>56</v>
      </c>
      <c r="L421" s="123" t="s">
        <v>418</v>
      </c>
      <c r="M421" s="123" t="s">
        <v>424</v>
      </c>
      <c r="N421" s="126" t="s">
        <v>443</v>
      </c>
      <c r="O421" s="128">
        <v>10955362</v>
      </c>
      <c r="P421" s="128">
        <v>0</v>
      </c>
      <c r="Q421" s="128">
        <v>0</v>
      </c>
      <c r="R421" s="128">
        <v>0</v>
      </c>
      <c r="S421" s="128">
        <f t="shared" si="182"/>
        <v>10955362</v>
      </c>
      <c r="T421" s="128">
        <f t="shared" si="181"/>
        <v>2757.5921264599274</v>
      </c>
      <c r="U421" s="128">
        <v>2809.47</v>
      </c>
      <c r="V421" s="129"/>
    </row>
    <row r="422" spans="1:22" ht="35.25" x14ac:dyDescent="0.5">
      <c r="B422" s="122" t="s">
        <v>691</v>
      </c>
      <c r="C422" s="122"/>
      <c r="D422" s="123" t="s">
        <v>423</v>
      </c>
      <c r="E422" s="123" t="s">
        <v>423</v>
      </c>
      <c r="F422" s="123" t="s">
        <v>423</v>
      </c>
      <c r="G422" s="123" t="s">
        <v>423</v>
      </c>
      <c r="H422" s="123" t="s">
        <v>423</v>
      </c>
      <c r="I422" s="124">
        <f>I423+I424</f>
        <v>769</v>
      </c>
      <c r="J422" s="124">
        <f t="shared" ref="J422:K422" si="183">J423+J424</f>
        <v>709.1</v>
      </c>
      <c r="K422" s="125">
        <f t="shared" si="183"/>
        <v>28</v>
      </c>
      <c r="L422" s="123" t="s">
        <v>423</v>
      </c>
      <c r="M422" s="123" t="s">
        <v>423</v>
      </c>
      <c r="N422" s="126" t="s">
        <v>423</v>
      </c>
      <c r="O422" s="128">
        <f>O423+O424</f>
        <v>14357909.359999999</v>
      </c>
      <c r="P422" s="128">
        <f t="shared" ref="P422:S422" si="184">P423+P424</f>
        <v>0</v>
      </c>
      <c r="Q422" s="128">
        <f t="shared" si="184"/>
        <v>0</v>
      </c>
      <c r="R422" s="128">
        <f t="shared" si="184"/>
        <v>0</v>
      </c>
      <c r="S422" s="128">
        <f t="shared" si="184"/>
        <v>14357909.359999999</v>
      </c>
      <c r="T422" s="128">
        <f t="shared" si="181"/>
        <v>18670.883433029907</v>
      </c>
      <c r="U422" s="128">
        <f>MAX(U423:U424)</f>
        <v>24957.11</v>
      </c>
      <c r="V422" s="129"/>
    </row>
    <row r="423" spans="1:22" ht="35.25" x14ac:dyDescent="0.5">
      <c r="A423">
        <v>1</v>
      </c>
      <c r="B423" s="131">
        <f>SUBTOTAL(9,$A$338:A423)</f>
        <v>77</v>
      </c>
      <c r="C423" s="10" t="s">
        <v>181</v>
      </c>
      <c r="D423" s="123"/>
      <c r="E423" s="123">
        <v>1965</v>
      </c>
      <c r="F423" s="123" t="s">
        <v>420</v>
      </c>
      <c r="G423" s="123">
        <v>2</v>
      </c>
      <c r="H423" s="123" t="s">
        <v>320</v>
      </c>
      <c r="I423" s="124">
        <v>251.8</v>
      </c>
      <c r="J423" s="124">
        <v>251.8</v>
      </c>
      <c r="K423" s="125">
        <v>8</v>
      </c>
      <c r="L423" s="123" t="s">
        <v>418</v>
      </c>
      <c r="M423" s="123" t="s">
        <v>425</v>
      </c>
      <c r="N423" s="126" t="s">
        <v>426</v>
      </c>
      <c r="O423" s="128">
        <v>6284201</v>
      </c>
      <c r="P423" s="128">
        <v>0</v>
      </c>
      <c r="Q423" s="128">
        <v>0</v>
      </c>
      <c r="R423" s="128">
        <v>0</v>
      </c>
      <c r="S423" s="128">
        <f t="shared" si="182"/>
        <v>6284201</v>
      </c>
      <c r="T423" s="128">
        <f t="shared" si="181"/>
        <v>24957.112787926926</v>
      </c>
      <c r="U423" s="128">
        <v>24957.11</v>
      </c>
      <c r="V423" s="129"/>
    </row>
    <row r="424" spans="1:22" ht="35.25" x14ac:dyDescent="0.5">
      <c r="A424">
        <v>1</v>
      </c>
      <c r="B424" s="131">
        <f>SUBTOTAL(9,$A$338:A424)</f>
        <v>78</v>
      </c>
      <c r="C424" s="10" t="s">
        <v>382</v>
      </c>
      <c r="D424" s="123"/>
      <c r="E424" s="123">
        <v>1970</v>
      </c>
      <c r="F424" s="123" t="s">
        <v>420</v>
      </c>
      <c r="G424" s="123">
        <v>2</v>
      </c>
      <c r="H424" s="123" t="s">
        <v>320</v>
      </c>
      <c r="I424" s="124">
        <v>517.20000000000005</v>
      </c>
      <c r="J424" s="124">
        <v>457.3</v>
      </c>
      <c r="K424" s="125">
        <v>20</v>
      </c>
      <c r="L424" s="123" t="s">
        <v>418</v>
      </c>
      <c r="M424" s="123" t="s">
        <v>425</v>
      </c>
      <c r="N424" s="126" t="s">
        <v>426</v>
      </c>
      <c r="O424" s="128">
        <v>8073708.3599999994</v>
      </c>
      <c r="P424" s="128">
        <v>0</v>
      </c>
      <c r="Q424" s="128">
        <v>0</v>
      </c>
      <c r="R424" s="128">
        <v>0</v>
      </c>
      <c r="S424" s="128">
        <f>O424-P424-Q424-R424</f>
        <v>8073708.3599999994</v>
      </c>
      <c r="T424" s="128">
        <f>O424/I424</f>
        <v>15610.418329466354</v>
      </c>
      <c r="U424" s="128">
        <v>16663.439999999999</v>
      </c>
      <c r="V424" s="129"/>
    </row>
    <row r="425" spans="1:22" ht="35.25" x14ac:dyDescent="0.5">
      <c r="B425" s="122" t="s">
        <v>688</v>
      </c>
      <c r="C425" s="122"/>
      <c r="D425" s="123" t="s">
        <v>423</v>
      </c>
      <c r="E425" s="123" t="s">
        <v>423</v>
      </c>
      <c r="F425" s="123" t="s">
        <v>423</v>
      </c>
      <c r="G425" s="123" t="s">
        <v>423</v>
      </c>
      <c r="H425" s="123" t="s">
        <v>423</v>
      </c>
      <c r="I425" s="124">
        <f>I426</f>
        <v>521.6</v>
      </c>
      <c r="J425" s="124">
        <f t="shared" ref="J425:K425" si="185">J426</f>
        <v>520.4</v>
      </c>
      <c r="K425" s="125">
        <f t="shared" si="185"/>
        <v>21</v>
      </c>
      <c r="L425" s="123" t="s">
        <v>423</v>
      </c>
      <c r="M425" s="123" t="s">
        <v>423</v>
      </c>
      <c r="N425" s="126" t="s">
        <v>423</v>
      </c>
      <c r="O425" s="128">
        <v>7616706</v>
      </c>
      <c r="P425" s="128">
        <f t="shared" ref="P425:S425" si="186">P426</f>
        <v>0</v>
      </c>
      <c r="Q425" s="128">
        <f t="shared" si="186"/>
        <v>0</v>
      </c>
      <c r="R425" s="128">
        <f t="shared" si="186"/>
        <v>0</v>
      </c>
      <c r="S425" s="128">
        <f t="shared" si="186"/>
        <v>7616706</v>
      </c>
      <c r="T425" s="128">
        <f t="shared" si="181"/>
        <v>14602.580521472391</v>
      </c>
      <c r="U425" s="128">
        <f>U426</f>
        <v>14877.32</v>
      </c>
      <c r="V425" s="129"/>
    </row>
    <row r="426" spans="1:22" ht="35.25" x14ac:dyDescent="0.5">
      <c r="A426">
        <v>1</v>
      </c>
      <c r="B426" s="131">
        <f>SUBTOTAL(9,$A$338:A426)</f>
        <v>79</v>
      </c>
      <c r="C426" s="10" t="s">
        <v>182</v>
      </c>
      <c r="D426" s="123"/>
      <c r="E426" s="123">
        <v>1973</v>
      </c>
      <c r="F426" s="123" t="s">
        <v>420</v>
      </c>
      <c r="G426" s="123">
        <v>2</v>
      </c>
      <c r="H426" s="123" t="s">
        <v>320</v>
      </c>
      <c r="I426" s="124">
        <v>521.6</v>
      </c>
      <c r="J426" s="124">
        <v>520.4</v>
      </c>
      <c r="K426" s="125">
        <v>21</v>
      </c>
      <c r="L426" s="123" t="s">
        <v>418</v>
      </c>
      <c r="M426" s="123" t="s">
        <v>424</v>
      </c>
      <c r="N426" s="126" t="s">
        <v>446</v>
      </c>
      <c r="O426" s="128">
        <v>7616706</v>
      </c>
      <c r="P426" s="128">
        <v>0</v>
      </c>
      <c r="Q426" s="128">
        <v>0</v>
      </c>
      <c r="R426" s="128">
        <v>0</v>
      </c>
      <c r="S426" s="128">
        <f t="shared" si="182"/>
        <v>7616706</v>
      </c>
      <c r="T426" s="128">
        <f t="shared" si="181"/>
        <v>14602.580521472391</v>
      </c>
      <c r="U426" s="128">
        <v>14877.32</v>
      </c>
      <c r="V426" s="129"/>
    </row>
    <row r="427" spans="1:22" ht="35.25" x14ac:dyDescent="0.5">
      <c r="B427" s="122" t="s">
        <v>693</v>
      </c>
      <c r="C427" s="122"/>
      <c r="D427" s="123" t="s">
        <v>423</v>
      </c>
      <c r="E427" s="123" t="s">
        <v>423</v>
      </c>
      <c r="F427" s="123" t="s">
        <v>423</v>
      </c>
      <c r="G427" s="123" t="s">
        <v>423</v>
      </c>
      <c r="H427" s="123" t="s">
        <v>423</v>
      </c>
      <c r="I427" s="124">
        <f>SUM(I428:I434)</f>
        <v>12710.05</v>
      </c>
      <c r="J427" s="124">
        <f t="shared" ref="J427:K427" si="187">SUM(J428:J434)</f>
        <v>8580.39</v>
      </c>
      <c r="K427" s="125">
        <f t="shared" si="187"/>
        <v>519</v>
      </c>
      <c r="L427" s="123" t="s">
        <v>423</v>
      </c>
      <c r="M427" s="123" t="s">
        <v>423</v>
      </c>
      <c r="N427" s="126" t="s">
        <v>423</v>
      </c>
      <c r="O427" s="127">
        <f>SUM(O428:O434)</f>
        <v>59404379.280000001</v>
      </c>
      <c r="P427" s="127">
        <f t="shared" ref="P427:S427" si="188">SUM(P428:P434)</f>
        <v>0</v>
      </c>
      <c r="Q427" s="127">
        <f t="shared" si="188"/>
        <v>0</v>
      </c>
      <c r="R427" s="127">
        <f t="shared" si="188"/>
        <v>0</v>
      </c>
      <c r="S427" s="127">
        <f t="shared" si="188"/>
        <v>59404379.280000001</v>
      </c>
      <c r="T427" s="128">
        <f t="shared" ref="T427:T461" si="189">O427/I427</f>
        <v>4673.8116120707637</v>
      </c>
      <c r="U427" s="128">
        <f>MAX(U428:U434)</f>
        <v>16719.325099250113</v>
      </c>
      <c r="V427" s="129"/>
    </row>
    <row r="428" spans="1:22" ht="35.25" x14ac:dyDescent="0.5">
      <c r="A428">
        <v>1</v>
      </c>
      <c r="B428" s="131">
        <f>SUBTOTAL(9,$A$338:A428)</f>
        <v>80</v>
      </c>
      <c r="C428" s="10" t="s">
        <v>192</v>
      </c>
      <c r="D428" s="123"/>
      <c r="E428" s="123">
        <v>1987</v>
      </c>
      <c r="F428" s="123" t="s">
        <v>420</v>
      </c>
      <c r="G428" s="123">
        <v>5</v>
      </c>
      <c r="H428" s="123" t="s">
        <v>318</v>
      </c>
      <c r="I428" s="124">
        <v>3451.53</v>
      </c>
      <c r="J428" s="124">
        <v>2326.9299999999998</v>
      </c>
      <c r="K428" s="125">
        <v>179</v>
      </c>
      <c r="L428" s="123" t="s">
        <v>418</v>
      </c>
      <c r="M428" s="123" t="s">
        <v>424</v>
      </c>
      <c r="N428" s="126" t="s">
        <v>447</v>
      </c>
      <c r="O428" s="128">
        <v>11856672.34</v>
      </c>
      <c r="P428" s="128">
        <v>0</v>
      </c>
      <c r="Q428" s="128">
        <v>0</v>
      </c>
      <c r="R428" s="128">
        <v>0</v>
      </c>
      <c r="S428" s="128">
        <f t="shared" ref="S428:S461" si="190">O428-P428-Q428-R428</f>
        <v>11856672.34</v>
      </c>
      <c r="T428" s="128">
        <f t="shared" si="189"/>
        <v>3435.1931867896265</v>
      </c>
      <c r="U428" s="128">
        <v>3499.82</v>
      </c>
      <c r="V428" s="129"/>
    </row>
    <row r="429" spans="1:22" ht="35.25" x14ac:dyDescent="0.5">
      <c r="A429">
        <v>1</v>
      </c>
      <c r="B429" s="131">
        <f>SUBTOTAL(9,$A$338:A429)</f>
        <v>81</v>
      </c>
      <c r="C429" s="10" t="s">
        <v>193</v>
      </c>
      <c r="D429" s="123"/>
      <c r="E429" s="123">
        <v>1973</v>
      </c>
      <c r="F429" s="123" t="s">
        <v>421</v>
      </c>
      <c r="G429" s="123">
        <v>5</v>
      </c>
      <c r="H429" s="123" t="s">
        <v>322</v>
      </c>
      <c r="I429" s="124">
        <v>4001.63</v>
      </c>
      <c r="J429" s="124">
        <v>3060.66</v>
      </c>
      <c r="K429" s="125">
        <v>156</v>
      </c>
      <c r="L429" s="123" t="s">
        <v>418</v>
      </c>
      <c r="M429" s="123" t="s">
        <v>424</v>
      </c>
      <c r="N429" s="126" t="s">
        <v>447</v>
      </c>
      <c r="O429" s="128">
        <v>10037572.939999999</v>
      </c>
      <c r="P429" s="128">
        <v>0</v>
      </c>
      <c r="Q429" s="128">
        <v>0</v>
      </c>
      <c r="R429" s="128">
        <v>0</v>
      </c>
      <c r="S429" s="128">
        <f t="shared" si="190"/>
        <v>10037572.939999999</v>
      </c>
      <c r="T429" s="128">
        <f t="shared" si="189"/>
        <v>2508.3710737874312</v>
      </c>
      <c r="U429" s="128">
        <v>2508.37</v>
      </c>
      <c r="V429" s="129"/>
    </row>
    <row r="430" spans="1:22" ht="35.25" x14ac:dyDescent="0.5">
      <c r="A430">
        <v>1</v>
      </c>
      <c r="B430" s="131">
        <f>SUBTOTAL(9,$A$338:A430)</f>
        <v>82</v>
      </c>
      <c r="C430" s="10" t="s">
        <v>194</v>
      </c>
      <c r="D430" s="123"/>
      <c r="E430" s="123">
        <v>1981</v>
      </c>
      <c r="F430" s="123" t="s">
        <v>420</v>
      </c>
      <c r="G430" s="123">
        <v>2</v>
      </c>
      <c r="H430" s="123" t="s">
        <v>320</v>
      </c>
      <c r="I430" s="124">
        <v>844.4</v>
      </c>
      <c r="J430" s="124">
        <v>487.2</v>
      </c>
      <c r="K430" s="125">
        <v>43</v>
      </c>
      <c r="L430" s="123" t="s">
        <v>418</v>
      </c>
      <c r="M430" s="123" t="s">
        <v>424</v>
      </c>
      <c r="N430" s="126" t="s">
        <v>448</v>
      </c>
      <c r="O430" s="128">
        <v>10663388.060000001</v>
      </c>
      <c r="P430" s="128">
        <v>0</v>
      </c>
      <c r="Q430" s="128">
        <v>0</v>
      </c>
      <c r="R430" s="128">
        <v>0</v>
      </c>
      <c r="S430" s="128">
        <f t="shared" si="190"/>
        <v>10663388.060000001</v>
      </c>
      <c r="T430" s="128">
        <f t="shared" si="189"/>
        <v>12628.361037423023</v>
      </c>
      <c r="U430" s="128">
        <v>12865.96</v>
      </c>
      <c r="V430" s="129"/>
    </row>
    <row r="431" spans="1:22" ht="35.25" x14ac:dyDescent="0.5">
      <c r="A431">
        <v>1</v>
      </c>
      <c r="B431" s="131">
        <f>SUBTOTAL(9,$A$338:A431)</f>
        <v>83</v>
      </c>
      <c r="C431" s="10" t="s">
        <v>195</v>
      </c>
      <c r="D431" s="123"/>
      <c r="E431" s="123">
        <v>1976</v>
      </c>
      <c r="F431" s="123" t="s">
        <v>421</v>
      </c>
      <c r="G431" s="123">
        <v>5</v>
      </c>
      <c r="H431" s="123" t="s">
        <v>322</v>
      </c>
      <c r="I431" s="124">
        <v>3250</v>
      </c>
      <c r="J431" s="124">
        <v>1740.1</v>
      </c>
      <c r="K431" s="125">
        <v>90</v>
      </c>
      <c r="L431" s="123" t="s">
        <v>418</v>
      </c>
      <c r="M431" s="123" t="s">
        <v>427</v>
      </c>
      <c r="N431" s="126" t="s">
        <v>449</v>
      </c>
      <c r="O431" s="128">
        <v>11332135.190000001</v>
      </c>
      <c r="P431" s="128">
        <v>0</v>
      </c>
      <c r="Q431" s="128">
        <v>0</v>
      </c>
      <c r="R431" s="128">
        <v>0</v>
      </c>
      <c r="S431" s="128">
        <f t="shared" si="190"/>
        <v>11332135.190000001</v>
      </c>
      <c r="T431" s="128">
        <f t="shared" si="189"/>
        <v>3486.8108276923081</v>
      </c>
      <c r="U431" s="128">
        <v>3552.41</v>
      </c>
      <c r="V431" s="129"/>
    </row>
    <row r="432" spans="1:22" ht="35.25" x14ac:dyDescent="0.5">
      <c r="A432">
        <v>1</v>
      </c>
      <c r="B432" s="131">
        <f>SUBTOTAL(9,$A$338:A432)</f>
        <v>84</v>
      </c>
      <c r="C432" s="10" t="s">
        <v>196</v>
      </c>
      <c r="D432" s="123"/>
      <c r="E432" s="123">
        <v>1995</v>
      </c>
      <c r="F432" s="123" t="s">
        <v>420</v>
      </c>
      <c r="G432" s="123">
        <v>2</v>
      </c>
      <c r="H432" s="123" t="s">
        <v>318</v>
      </c>
      <c r="I432" s="124">
        <v>337.99</v>
      </c>
      <c r="J432" s="124">
        <v>185.6</v>
      </c>
      <c r="K432" s="125">
        <v>11</v>
      </c>
      <c r="L432" s="123" t="s">
        <v>418</v>
      </c>
      <c r="M432" s="123" t="s">
        <v>424</v>
      </c>
      <c r="N432" s="126" t="s">
        <v>448</v>
      </c>
      <c r="O432" s="128">
        <v>3744880.45</v>
      </c>
      <c r="P432" s="128">
        <v>0</v>
      </c>
      <c r="Q432" s="128">
        <v>0</v>
      </c>
      <c r="R432" s="128">
        <v>0</v>
      </c>
      <c r="S432" s="128">
        <f t="shared" si="190"/>
        <v>3744880.45</v>
      </c>
      <c r="T432" s="128">
        <f t="shared" si="189"/>
        <v>11079.85576496346</v>
      </c>
      <c r="U432" s="128">
        <v>11288.32</v>
      </c>
      <c r="V432" s="129"/>
    </row>
    <row r="433" spans="1:22" ht="35.25" x14ac:dyDescent="0.5">
      <c r="A433">
        <v>1</v>
      </c>
      <c r="B433" s="131">
        <f>SUBTOTAL(9,$A$338:A433)</f>
        <v>85</v>
      </c>
      <c r="C433" s="10" t="s">
        <v>197</v>
      </c>
      <c r="D433" s="123"/>
      <c r="E433" s="123">
        <v>1980</v>
      </c>
      <c r="F433" s="123" t="s">
        <v>420</v>
      </c>
      <c r="G433" s="123">
        <v>2</v>
      </c>
      <c r="H433" s="123" t="s">
        <v>318</v>
      </c>
      <c r="I433" s="124">
        <v>371.1</v>
      </c>
      <c r="J433" s="124">
        <v>371.1</v>
      </c>
      <c r="K433" s="125">
        <v>19</v>
      </c>
      <c r="L433" s="123" t="s">
        <v>418</v>
      </c>
      <c r="M433" s="123" t="s">
        <v>425</v>
      </c>
      <c r="N433" s="126" t="s">
        <v>426</v>
      </c>
      <c r="O433" s="128">
        <v>4189188.3</v>
      </c>
      <c r="P433" s="128">
        <v>0</v>
      </c>
      <c r="Q433" s="128">
        <v>0</v>
      </c>
      <c r="R433" s="128">
        <v>0</v>
      </c>
      <c r="S433" s="128">
        <f t="shared" si="190"/>
        <v>4189188.3</v>
      </c>
      <c r="T433" s="128">
        <f t="shared" si="189"/>
        <v>11288.56992724333</v>
      </c>
      <c r="U433" s="128">
        <v>11500.96</v>
      </c>
      <c r="V433" s="129"/>
    </row>
    <row r="434" spans="1:22" ht="35.25" x14ac:dyDescent="0.5">
      <c r="A434">
        <v>1</v>
      </c>
      <c r="B434" s="131">
        <f>SUBTOTAL(9,$A$338:A434)</f>
        <v>86</v>
      </c>
      <c r="C434" s="10" t="s">
        <v>198</v>
      </c>
      <c r="D434" s="123"/>
      <c r="E434" s="123">
        <v>1952</v>
      </c>
      <c r="F434" s="123" t="s">
        <v>420</v>
      </c>
      <c r="G434" s="123">
        <v>2</v>
      </c>
      <c r="H434" s="123" t="s">
        <v>320</v>
      </c>
      <c r="I434" s="124">
        <v>453.4</v>
      </c>
      <c r="J434" s="124">
        <v>408.8</v>
      </c>
      <c r="K434" s="125">
        <v>21</v>
      </c>
      <c r="L434" s="123" t="s">
        <v>418</v>
      </c>
      <c r="M434" s="123" t="s">
        <v>425</v>
      </c>
      <c r="N434" s="126" t="s">
        <v>426</v>
      </c>
      <c r="O434" s="128">
        <v>7580542</v>
      </c>
      <c r="P434" s="128">
        <v>0</v>
      </c>
      <c r="Q434" s="128">
        <v>0</v>
      </c>
      <c r="R434" s="128">
        <v>0</v>
      </c>
      <c r="S434" s="128">
        <f t="shared" si="190"/>
        <v>7580542</v>
      </c>
      <c r="T434" s="128">
        <f t="shared" si="189"/>
        <v>16719.325099250113</v>
      </c>
      <c r="U434" s="128">
        <v>16719.325099250113</v>
      </c>
      <c r="V434" s="129"/>
    </row>
    <row r="435" spans="1:22" ht="35.25" x14ac:dyDescent="0.5">
      <c r="B435" s="122" t="s">
        <v>699</v>
      </c>
      <c r="C435" s="122"/>
      <c r="D435" s="123" t="s">
        <v>423</v>
      </c>
      <c r="E435" s="123" t="s">
        <v>423</v>
      </c>
      <c r="F435" s="123" t="s">
        <v>423</v>
      </c>
      <c r="G435" s="123" t="s">
        <v>423</v>
      </c>
      <c r="H435" s="123" t="s">
        <v>423</v>
      </c>
      <c r="I435" s="124">
        <f>SUM(I436:I438)</f>
        <v>2474.1</v>
      </c>
      <c r="J435" s="124">
        <f t="shared" ref="J435:K435" si="191">SUM(J436:J438)</f>
        <v>2213.6</v>
      </c>
      <c r="K435" s="125">
        <f t="shared" si="191"/>
        <v>44</v>
      </c>
      <c r="L435" s="123" t="s">
        <v>423</v>
      </c>
      <c r="M435" s="123" t="s">
        <v>423</v>
      </c>
      <c r="N435" s="126" t="s">
        <v>423</v>
      </c>
      <c r="O435" s="127">
        <f>SUM(O436:O438)</f>
        <v>27229723.949999999</v>
      </c>
      <c r="P435" s="127">
        <f t="shared" ref="P435:S435" si="192">SUM(P436:P438)</f>
        <v>0</v>
      </c>
      <c r="Q435" s="127">
        <f t="shared" si="192"/>
        <v>0</v>
      </c>
      <c r="R435" s="127">
        <f t="shared" si="192"/>
        <v>0</v>
      </c>
      <c r="S435" s="127">
        <f t="shared" si="192"/>
        <v>27229723.949999999</v>
      </c>
      <c r="T435" s="128">
        <f t="shared" si="189"/>
        <v>11005.910816054324</v>
      </c>
      <c r="U435" s="128">
        <f>MAX(U436:U438)</f>
        <v>12246.2</v>
      </c>
      <c r="V435" s="129"/>
    </row>
    <row r="436" spans="1:22" ht="35.25" x14ac:dyDescent="0.5">
      <c r="A436">
        <v>1</v>
      </c>
      <c r="B436" s="131">
        <f>SUBTOTAL(9,$A$338:A436)</f>
        <v>87</v>
      </c>
      <c r="C436" s="10" t="s">
        <v>205</v>
      </c>
      <c r="D436" s="123"/>
      <c r="E436" s="123">
        <v>1974</v>
      </c>
      <c r="F436" s="123" t="s">
        <v>420</v>
      </c>
      <c r="G436" s="123">
        <v>2</v>
      </c>
      <c r="H436" s="123" t="s">
        <v>318</v>
      </c>
      <c r="I436" s="124">
        <v>380.2</v>
      </c>
      <c r="J436" s="124">
        <v>358.3</v>
      </c>
      <c r="K436" s="125">
        <v>8</v>
      </c>
      <c r="L436" s="123" t="s">
        <v>418</v>
      </c>
      <c r="M436" s="123" t="s">
        <v>424</v>
      </c>
      <c r="N436" s="126" t="s">
        <v>450</v>
      </c>
      <c r="O436" s="128">
        <v>4570023.5999999996</v>
      </c>
      <c r="P436" s="128">
        <v>0</v>
      </c>
      <c r="Q436" s="128">
        <v>0</v>
      </c>
      <c r="R436" s="128">
        <v>0</v>
      </c>
      <c r="S436" s="128">
        <f t="shared" si="190"/>
        <v>4570023.5999999996</v>
      </c>
      <c r="T436" s="128">
        <f t="shared" si="189"/>
        <v>12020.051551814833</v>
      </c>
      <c r="U436" s="128">
        <v>12246.2</v>
      </c>
      <c r="V436" s="129"/>
    </row>
    <row r="437" spans="1:22" ht="35.25" x14ac:dyDescent="0.5">
      <c r="A437">
        <v>1</v>
      </c>
      <c r="B437" s="131">
        <f>SUBTOTAL(9,$A$338:A437)</f>
        <v>88</v>
      </c>
      <c r="C437" s="10" t="s">
        <v>206</v>
      </c>
      <c r="D437" s="123"/>
      <c r="E437" s="123">
        <v>1978</v>
      </c>
      <c r="F437" s="123" t="s">
        <v>420</v>
      </c>
      <c r="G437" s="123">
        <v>2</v>
      </c>
      <c r="H437" s="123" t="s">
        <v>327</v>
      </c>
      <c r="I437" s="124">
        <v>1072</v>
      </c>
      <c r="J437" s="124">
        <v>975.5</v>
      </c>
      <c r="K437" s="125">
        <v>18</v>
      </c>
      <c r="L437" s="123" t="s">
        <v>418</v>
      </c>
      <c r="M437" s="123" t="s">
        <v>425</v>
      </c>
      <c r="N437" s="126" t="s">
        <v>426</v>
      </c>
      <c r="O437" s="128">
        <v>11209252.33</v>
      </c>
      <c r="P437" s="128">
        <v>0</v>
      </c>
      <c r="Q437" s="128">
        <v>0</v>
      </c>
      <c r="R437" s="128">
        <v>0</v>
      </c>
      <c r="S437" s="128">
        <f t="shared" si="190"/>
        <v>11209252.33</v>
      </c>
      <c r="T437" s="128">
        <f t="shared" si="189"/>
        <v>10456.392098880597</v>
      </c>
      <c r="U437" s="128">
        <v>10653.12</v>
      </c>
      <c r="V437" s="129"/>
    </row>
    <row r="438" spans="1:22" ht="35.25" x14ac:dyDescent="0.5">
      <c r="A438">
        <v>1</v>
      </c>
      <c r="B438" s="131">
        <f>SUBTOTAL(9,$A$338:A438)</f>
        <v>89</v>
      </c>
      <c r="C438" s="10" t="s">
        <v>207</v>
      </c>
      <c r="D438" s="123"/>
      <c r="E438" s="123">
        <v>1978</v>
      </c>
      <c r="F438" s="123" t="s">
        <v>420</v>
      </c>
      <c r="G438" s="123">
        <v>2</v>
      </c>
      <c r="H438" s="123" t="s">
        <v>327</v>
      </c>
      <c r="I438" s="124">
        <v>1021.9</v>
      </c>
      <c r="J438" s="124">
        <v>879.8</v>
      </c>
      <c r="K438" s="125">
        <v>18</v>
      </c>
      <c r="L438" s="123" t="s">
        <v>418</v>
      </c>
      <c r="M438" s="123" t="s">
        <v>424</v>
      </c>
      <c r="N438" s="126" t="s">
        <v>434</v>
      </c>
      <c r="O438" s="128">
        <v>11450448.02</v>
      </c>
      <c r="P438" s="128">
        <v>0</v>
      </c>
      <c r="Q438" s="128">
        <v>0</v>
      </c>
      <c r="R438" s="128">
        <v>0</v>
      </c>
      <c r="S438" s="128">
        <f t="shared" si="190"/>
        <v>11450448.02</v>
      </c>
      <c r="T438" s="128">
        <f t="shared" si="189"/>
        <v>11205.057265877287</v>
      </c>
      <c r="U438" s="128">
        <v>11415.87</v>
      </c>
      <c r="V438" s="129"/>
    </row>
    <row r="439" spans="1:22" ht="35.25" x14ac:dyDescent="0.5">
      <c r="B439" s="122" t="s">
        <v>669</v>
      </c>
      <c r="C439" s="122"/>
      <c r="D439" s="123" t="s">
        <v>423</v>
      </c>
      <c r="E439" s="123" t="s">
        <v>423</v>
      </c>
      <c r="F439" s="123" t="s">
        <v>423</v>
      </c>
      <c r="G439" s="123" t="s">
        <v>423</v>
      </c>
      <c r="H439" s="123" t="s">
        <v>423</v>
      </c>
      <c r="I439" s="124">
        <f>SUM(I440:I447)</f>
        <v>5222.5999999999995</v>
      </c>
      <c r="J439" s="124">
        <f t="shared" ref="J439:K439" si="193">SUM(J440:J447)</f>
        <v>3948.8</v>
      </c>
      <c r="K439" s="125">
        <f t="shared" si="193"/>
        <v>191</v>
      </c>
      <c r="L439" s="123" t="s">
        <v>423</v>
      </c>
      <c r="M439" s="123" t="s">
        <v>423</v>
      </c>
      <c r="N439" s="126" t="s">
        <v>423</v>
      </c>
      <c r="O439" s="128">
        <f>SUM(O440:O447)</f>
        <v>54164763.110000007</v>
      </c>
      <c r="P439" s="128">
        <f t="shared" ref="P439:S439" si="194">SUM(P440:P447)</f>
        <v>0</v>
      </c>
      <c r="Q439" s="128">
        <f t="shared" si="194"/>
        <v>0</v>
      </c>
      <c r="R439" s="128">
        <f t="shared" si="194"/>
        <v>0</v>
      </c>
      <c r="S439" s="128">
        <f t="shared" si="194"/>
        <v>54164763.110000007</v>
      </c>
      <c r="T439" s="128">
        <f t="shared" si="189"/>
        <v>10371.225655803624</v>
      </c>
      <c r="U439" s="128">
        <f>MAX(U440:U447)</f>
        <v>17899.27</v>
      </c>
      <c r="V439" s="129"/>
    </row>
    <row r="440" spans="1:22" ht="35.25" x14ac:dyDescent="0.5">
      <c r="A440">
        <v>1</v>
      </c>
      <c r="B440" s="131">
        <f>SUBTOTAL(9,$A$338:A440)</f>
        <v>90</v>
      </c>
      <c r="C440" s="10" t="s">
        <v>213</v>
      </c>
      <c r="D440" s="123"/>
      <c r="E440" s="123">
        <v>1962</v>
      </c>
      <c r="F440" s="123" t="s">
        <v>420</v>
      </c>
      <c r="G440" s="123">
        <v>2</v>
      </c>
      <c r="H440" s="123" t="s">
        <v>318</v>
      </c>
      <c r="I440" s="124">
        <v>311</v>
      </c>
      <c r="J440" s="124">
        <v>288.7</v>
      </c>
      <c r="K440" s="125">
        <v>14</v>
      </c>
      <c r="L440" s="123" t="s">
        <v>418</v>
      </c>
      <c r="M440" s="123" t="s">
        <v>425</v>
      </c>
      <c r="N440" s="126" t="s">
        <v>426</v>
      </c>
      <c r="O440" s="128">
        <v>5386458</v>
      </c>
      <c r="P440" s="128">
        <v>0</v>
      </c>
      <c r="Q440" s="128">
        <v>0</v>
      </c>
      <c r="R440" s="128">
        <v>0</v>
      </c>
      <c r="S440" s="128">
        <f t="shared" si="190"/>
        <v>5386458</v>
      </c>
      <c r="T440" s="128">
        <f t="shared" si="189"/>
        <v>17319.800643086815</v>
      </c>
      <c r="U440" s="128">
        <v>17319.8</v>
      </c>
      <c r="V440" s="129"/>
    </row>
    <row r="441" spans="1:22" ht="35.25" x14ac:dyDescent="0.5">
      <c r="A441">
        <v>1</v>
      </c>
      <c r="B441" s="131">
        <f>SUBTOTAL(9,$A$338:A441)</f>
        <v>91</v>
      </c>
      <c r="C441" s="10" t="s">
        <v>625</v>
      </c>
      <c r="D441" s="123"/>
      <c r="E441" s="123">
        <v>1964</v>
      </c>
      <c r="F441" s="123" t="s">
        <v>420</v>
      </c>
      <c r="G441" s="123">
        <v>2</v>
      </c>
      <c r="H441" s="123" t="s">
        <v>320</v>
      </c>
      <c r="I441" s="124">
        <v>383.3</v>
      </c>
      <c r="J441" s="124">
        <v>266.10000000000002</v>
      </c>
      <c r="K441" s="125">
        <v>15</v>
      </c>
      <c r="L441" s="123" t="s">
        <v>418</v>
      </c>
      <c r="M441" s="123" t="s">
        <v>424</v>
      </c>
      <c r="N441" s="126" t="s">
        <v>627</v>
      </c>
      <c r="O441" s="128">
        <v>5014331.45</v>
      </c>
      <c r="P441" s="128">
        <v>0</v>
      </c>
      <c r="Q441" s="128">
        <v>0</v>
      </c>
      <c r="R441" s="128">
        <v>0</v>
      </c>
      <c r="S441" s="128">
        <f t="shared" si="190"/>
        <v>5014331.45</v>
      </c>
      <c r="T441" s="128">
        <f t="shared" si="189"/>
        <v>13082.002217584139</v>
      </c>
      <c r="U441" s="128">
        <v>12573.65</v>
      </c>
      <c r="V441" s="129"/>
    </row>
    <row r="442" spans="1:22" ht="35.25" x14ac:dyDescent="0.5">
      <c r="A442">
        <v>1</v>
      </c>
      <c r="B442" s="131">
        <f>SUBTOTAL(9,$A$338:A442)</f>
        <v>92</v>
      </c>
      <c r="C442" s="10" t="s">
        <v>215</v>
      </c>
      <c r="D442" s="123"/>
      <c r="E442" s="123">
        <v>1981</v>
      </c>
      <c r="F442" s="123" t="s">
        <v>421</v>
      </c>
      <c r="G442" s="123">
        <v>2</v>
      </c>
      <c r="H442" s="123" t="s">
        <v>327</v>
      </c>
      <c r="I442" s="124">
        <v>895</v>
      </c>
      <c r="J442" s="124">
        <v>508.2</v>
      </c>
      <c r="K442" s="125">
        <v>47</v>
      </c>
      <c r="L442" s="123" t="s">
        <v>418</v>
      </c>
      <c r="M442" s="123" t="s">
        <v>425</v>
      </c>
      <c r="N442" s="126" t="s">
        <v>426</v>
      </c>
      <c r="O442" s="128">
        <v>10460276.239999998</v>
      </c>
      <c r="P442" s="128">
        <v>0</v>
      </c>
      <c r="Q442" s="128">
        <v>0</v>
      </c>
      <c r="R442" s="128">
        <v>0</v>
      </c>
      <c r="S442" s="128">
        <f t="shared" si="190"/>
        <v>10460276.239999998</v>
      </c>
      <c r="T442" s="128">
        <f t="shared" si="189"/>
        <v>11687.459486033518</v>
      </c>
      <c r="U442" s="128">
        <v>11907.35</v>
      </c>
      <c r="V442" s="129"/>
    </row>
    <row r="443" spans="1:22" ht="35.25" x14ac:dyDescent="0.5">
      <c r="A443">
        <v>1</v>
      </c>
      <c r="B443" s="131">
        <f>SUBTOTAL(9,$A$338:A443)</f>
        <v>93</v>
      </c>
      <c r="C443" s="10" t="s">
        <v>216</v>
      </c>
      <c r="D443" s="123"/>
      <c r="E443" s="123">
        <v>1965</v>
      </c>
      <c r="F443" s="123" t="s">
        <v>420</v>
      </c>
      <c r="G443" s="123">
        <v>2</v>
      </c>
      <c r="H443" s="123" t="s">
        <v>318</v>
      </c>
      <c r="I443" s="124">
        <v>323</v>
      </c>
      <c r="J443" s="124">
        <v>263</v>
      </c>
      <c r="K443" s="125">
        <v>9</v>
      </c>
      <c r="L443" s="123" t="s">
        <v>418</v>
      </c>
      <c r="M443" s="123" t="s">
        <v>425</v>
      </c>
      <c r="N443" s="126" t="s">
        <v>426</v>
      </c>
      <c r="O443" s="128">
        <v>5781464.9199999999</v>
      </c>
      <c r="P443" s="128">
        <v>0</v>
      </c>
      <c r="Q443" s="128">
        <v>0</v>
      </c>
      <c r="R443" s="128">
        <v>0</v>
      </c>
      <c r="S443" s="128">
        <f t="shared" si="190"/>
        <v>5781464.9199999999</v>
      </c>
      <c r="T443" s="128">
        <f t="shared" si="189"/>
        <v>17899.272198142415</v>
      </c>
      <c r="U443" s="128">
        <v>17899.27</v>
      </c>
      <c r="V443" s="129"/>
    </row>
    <row r="444" spans="1:22" ht="35.25" x14ac:dyDescent="0.5">
      <c r="A444">
        <v>1</v>
      </c>
      <c r="B444" s="131">
        <f>SUBTOTAL(9,$A$338:A444)</f>
        <v>94</v>
      </c>
      <c r="C444" s="10" t="s">
        <v>671</v>
      </c>
      <c r="D444" s="123"/>
      <c r="E444" s="123">
        <v>1976</v>
      </c>
      <c r="F444" s="123" t="s">
        <v>420</v>
      </c>
      <c r="G444" s="123">
        <v>2</v>
      </c>
      <c r="H444" s="123">
        <v>2</v>
      </c>
      <c r="I444" s="124">
        <v>923.6</v>
      </c>
      <c r="J444" s="124">
        <v>839.9</v>
      </c>
      <c r="K444" s="125">
        <v>22</v>
      </c>
      <c r="L444" s="123" t="s">
        <v>418</v>
      </c>
      <c r="M444" s="123" t="s">
        <v>425</v>
      </c>
      <c r="N444" s="126" t="s">
        <v>426</v>
      </c>
      <c r="O444" s="128">
        <v>7010026.4500000002</v>
      </c>
      <c r="P444" s="128">
        <v>0</v>
      </c>
      <c r="Q444" s="128">
        <v>0</v>
      </c>
      <c r="R444" s="128">
        <v>0</v>
      </c>
      <c r="S444" s="128">
        <f t="shared" ref="S444:S447" si="195">O444-P444-Q444-R444</f>
        <v>7010026.4500000002</v>
      </c>
      <c r="T444" s="128">
        <f t="shared" si="189"/>
        <v>7589.894380684279</v>
      </c>
      <c r="U444" s="128">
        <v>11545.46</v>
      </c>
      <c r="V444" s="129"/>
    </row>
    <row r="445" spans="1:22" ht="35.25" x14ac:dyDescent="0.5">
      <c r="A445">
        <v>1</v>
      </c>
      <c r="B445" s="131">
        <f>SUBTOTAL(9,$A$338:A445)</f>
        <v>95</v>
      </c>
      <c r="C445" s="10" t="s">
        <v>672</v>
      </c>
      <c r="D445" s="123"/>
      <c r="E445" s="123">
        <v>1989</v>
      </c>
      <c r="F445" s="123" t="s">
        <v>420</v>
      </c>
      <c r="G445" s="123">
        <v>2</v>
      </c>
      <c r="H445" s="123">
        <v>2</v>
      </c>
      <c r="I445" s="124">
        <v>973</v>
      </c>
      <c r="J445" s="124">
        <v>973</v>
      </c>
      <c r="K445" s="125">
        <v>23</v>
      </c>
      <c r="L445" s="123" t="s">
        <v>418</v>
      </c>
      <c r="M445" s="123" t="s">
        <v>425</v>
      </c>
      <c r="N445" s="126" t="s">
        <v>426</v>
      </c>
      <c r="O445" s="128">
        <v>8582586.25</v>
      </c>
      <c r="P445" s="128">
        <v>0</v>
      </c>
      <c r="Q445" s="128">
        <v>0</v>
      </c>
      <c r="R445" s="128">
        <v>0</v>
      </c>
      <c r="S445" s="128">
        <f t="shared" si="195"/>
        <v>8582586.25</v>
      </c>
      <c r="T445" s="128">
        <f t="shared" si="189"/>
        <v>8820.7464028776976</v>
      </c>
      <c r="U445" s="128">
        <v>11201.03</v>
      </c>
      <c r="V445" s="129"/>
    </row>
    <row r="446" spans="1:22" ht="33" customHeight="1" x14ac:dyDescent="0.5">
      <c r="A446">
        <v>1</v>
      </c>
      <c r="B446" s="131">
        <f>SUBTOTAL(9,$A$338:A446)</f>
        <v>96</v>
      </c>
      <c r="C446" s="10" t="s">
        <v>673</v>
      </c>
      <c r="D446" s="123"/>
      <c r="E446" s="123">
        <v>1983</v>
      </c>
      <c r="F446" s="123" t="s">
        <v>420</v>
      </c>
      <c r="G446" s="123">
        <v>2</v>
      </c>
      <c r="H446" s="123" t="s">
        <v>320</v>
      </c>
      <c r="I446" s="124">
        <v>562</v>
      </c>
      <c r="J446" s="124">
        <v>316.60000000000002</v>
      </c>
      <c r="K446" s="125">
        <v>31</v>
      </c>
      <c r="L446" s="123" t="s">
        <v>418</v>
      </c>
      <c r="M446" s="123" t="s">
        <v>424</v>
      </c>
      <c r="N446" s="126" t="s">
        <v>675</v>
      </c>
      <c r="O446" s="128">
        <v>3645971.35</v>
      </c>
      <c r="P446" s="128">
        <v>0</v>
      </c>
      <c r="Q446" s="128">
        <v>0</v>
      </c>
      <c r="R446" s="128">
        <v>0</v>
      </c>
      <c r="S446" s="128">
        <f t="shared" si="195"/>
        <v>3645971.35</v>
      </c>
      <c r="T446" s="128">
        <f t="shared" si="189"/>
        <v>6487.4935053380786</v>
      </c>
      <c r="U446" s="128">
        <v>11294.05</v>
      </c>
      <c r="V446" s="129"/>
    </row>
    <row r="447" spans="1:22" ht="35.25" x14ac:dyDescent="0.5">
      <c r="A447">
        <v>1</v>
      </c>
      <c r="B447" s="131">
        <f>SUBTOTAL(9,$A$338:A447)</f>
        <v>97</v>
      </c>
      <c r="C447" s="10" t="s">
        <v>674</v>
      </c>
      <c r="D447" s="123"/>
      <c r="E447" s="123">
        <v>1981</v>
      </c>
      <c r="F447" s="123" t="s">
        <v>420</v>
      </c>
      <c r="G447" s="123">
        <v>2</v>
      </c>
      <c r="H447" s="123" t="s">
        <v>320</v>
      </c>
      <c r="I447" s="124">
        <v>851.7</v>
      </c>
      <c r="J447" s="124">
        <v>493.3</v>
      </c>
      <c r="K447" s="125">
        <v>30</v>
      </c>
      <c r="L447" s="123" t="s">
        <v>418</v>
      </c>
      <c r="M447" s="123" t="s">
        <v>424</v>
      </c>
      <c r="N447" s="126" t="s">
        <v>675</v>
      </c>
      <c r="O447" s="128">
        <v>8283648.4500000002</v>
      </c>
      <c r="P447" s="128">
        <v>0</v>
      </c>
      <c r="Q447" s="128">
        <v>0</v>
      </c>
      <c r="R447" s="128">
        <v>0</v>
      </c>
      <c r="S447" s="128">
        <f t="shared" si="195"/>
        <v>8283648.4500000002</v>
      </c>
      <c r="T447" s="128">
        <f t="shared" si="189"/>
        <v>9726.016731243395</v>
      </c>
      <c r="U447" s="128">
        <v>13593.28</v>
      </c>
      <c r="V447" s="129"/>
    </row>
    <row r="448" spans="1:22" ht="35.25" x14ac:dyDescent="0.5">
      <c r="B448" s="122" t="s">
        <v>222</v>
      </c>
      <c r="C448" s="122"/>
      <c r="D448" s="123" t="s">
        <v>423</v>
      </c>
      <c r="E448" s="123" t="s">
        <v>423</v>
      </c>
      <c r="F448" s="123" t="s">
        <v>423</v>
      </c>
      <c r="G448" s="123" t="s">
        <v>423</v>
      </c>
      <c r="H448" s="123" t="s">
        <v>423</v>
      </c>
      <c r="I448" s="124">
        <f>I449</f>
        <v>5216.63</v>
      </c>
      <c r="J448" s="124">
        <f t="shared" ref="J448:K448" si="196">J449</f>
        <v>3293.3</v>
      </c>
      <c r="K448" s="125">
        <f t="shared" si="196"/>
        <v>126</v>
      </c>
      <c r="L448" s="123" t="s">
        <v>423</v>
      </c>
      <c r="M448" s="123" t="s">
        <v>423</v>
      </c>
      <c r="N448" s="126" t="s">
        <v>423</v>
      </c>
      <c r="O448" s="128">
        <v>14453477.609999999</v>
      </c>
      <c r="P448" s="128">
        <f t="shared" ref="P448:S448" si="197">P449</f>
        <v>0</v>
      </c>
      <c r="Q448" s="128">
        <f t="shared" si="197"/>
        <v>0</v>
      </c>
      <c r="R448" s="128">
        <f t="shared" si="197"/>
        <v>0</v>
      </c>
      <c r="S448" s="128">
        <f t="shared" si="197"/>
        <v>14453477.609999999</v>
      </c>
      <c r="T448" s="128">
        <f t="shared" si="189"/>
        <v>2770.6541598694939</v>
      </c>
      <c r="U448" s="128">
        <f>U449</f>
        <v>2918.08</v>
      </c>
      <c r="V448" s="129"/>
    </row>
    <row r="449" spans="1:22" ht="35.25" x14ac:dyDescent="0.5">
      <c r="A449">
        <v>1</v>
      </c>
      <c r="B449" s="131">
        <f>SUBTOTAL(9,$A$338:A449)</f>
        <v>98</v>
      </c>
      <c r="C449" s="10" t="s">
        <v>221</v>
      </c>
      <c r="D449" s="123"/>
      <c r="E449" s="123">
        <v>1978</v>
      </c>
      <c r="F449" s="123" t="s">
        <v>420</v>
      </c>
      <c r="G449" s="123">
        <v>5</v>
      </c>
      <c r="H449" s="123" t="s">
        <v>327</v>
      </c>
      <c r="I449" s="124">
        <v>5216.63</v>
      </c>
      <c r="J449" s="124">
        <v>3293.3</v>
      </c>
      <c r="K449" s="125">
        <v>126</v>
      </c>
      <c r="L449" s="123" t="s">
        <v>418</v>
      </c>
      <c r="M449" s="123" t="s">
        <v>424</v>
      </c>
      <c r="N449" s="126" t="s">
        <v>453</v>
      </c>
      <c r="O449" s="128">
        <v>14453477.609999999</v>
      </c>
      <c r="P449" s="128">
        <v>0</v>
      </c>
      <c r="Q449" s="128">
        <v>0</v>
      </c>
      <c r="R449" s="128">
        <v>0</v>
      </c>
      <c r="S449" s="128">
        <f t="shared" si="190"/>
        <v>14453477.609999999</v>
      </c>
      <c r="T449" s="128">
        <f t="shared" si="189"/>
        <v>2770.6541598694939</v>
      </c>
      <c r="U449" s="128">
        <v>2918.08</v>
      </c>
      <c r="V449" s="129"/>
    </row>
    <row r="450" spans="1:22" ht="35.25" x14ac:dyDescent="0.5">
      <c r="B450" s="145" t="s">
        <v>697</v>
      </c>
      <c r="C450" s="145"/>
      <c r="D450" s="123" t="s">
        <v>423</v>
      </c>
      <c r="E450" s="123" t="s">
        <v>423</v>
      </c>
      <c r="F450" s="123" t="s">
        <v>423</v>
      </c>
      <c r="G450" s="123" t="s">
        <v>423</v>
      </c>
      <c r="H450" s="123" t="s">
        <v>423</v>
      </c>
      <c r="I450" s="124">
        <f>SUM(I451:I455)</f>
        <v>3705.8999999999996</v>
      </c>
      <c r="J450" s="124">
        <f t="shared" ref="J450" si="198">SUM(J451:J455)</f>
        <v>2754.2100000000005</v>
      </c>
      <c r="K450" s="125">
        <f>SUM(K451:K455)</f>
        <v>214</v>
      </c>
      <c r="L450" s="123" t="s">
        <v>423</v>
      </c>
      <c r="M450" s="123" t="s">
        <v>423</v>
      </c>
      <c r="N450" s="126" t="s">
        <v>423</v>
      </c>
      <c r="O450" s="127">
        <f>SUM(O451:O455)</f>
        <v>42707353.960000001</v>
      </c>
      <c r="P450" s="127">
        <f t="shared" ref="P450:S450" si="199">SUM(P451:P455)</f>
        <v>0</v>
      </c>
      <c r="Q450" s="127">
        <f t="shared" si="199"/>
        <v>0</v>
      </c>
      <c r="R450" s="127">
        <f t="shared" si="199"/>
        <v>0</v>
      </c>
      <c r="S450" s="127">
        <f t="shared" si="199"/>
        <v>42707353.960000001</v>
      </c>
      <c r="T450" s="128">
        <f t="shared" ref="T450:T459" si="200">O450/I450</f>
        <v>11524.151747213904</v>
      </c>
      <c r="U450" s="128">
        <f>MAX(U451:U455)</f>
        <v>14421.75</v>
      </c>
      <c r="V450" s="129"/>
    </row>
    <row r="451" spans="1:22" ht="35.25" x14ac:dyDescent="0.5">
      <c r="A451">
        <v>1</v>
      </c>
      <c r="B451" s="131">
        <f>SUBTOTAL(9,$A$338:A451)</f>
        <v>99</v>
      </c>
      <c r="C451" s="10" t="s">
        <v>288</v>
      </c>
      <c r="D451" s="123"/>
      <c r="E451" s="123">
        <v>1984</v>
      </c>
      <c r="F451" s="123" t="s">
        <v>420</v>
      </c>
      <c r="G451" s="123">
        <v>2</v>
      </c>
      <c r="H451" s="123" t="s">
        <v>327</v>
      </c>
      <c r="I451" s="124">
        <v>859.8</v>
      </c>
      <c r="J451" s="124">
        <v>540.51</v>
      </c>
      <c r="K451" s="125">
        <v>47</v>
      </c>
      <c r="L451" s="123" t="s">
        <v>418</v>
      </c>
      <c r="M451" s="123" t="s">
        <v>425</v>
      </c>
      <c r="N451" s="126" t="s">
        <v>426</v>
      </c>
      <c r="O451" s="128">
        <v>7720511.1999999993</v>
      </c>
      <c r="P451" s="128">
        <v>0</v>
      </c>
      <c r="Q451" s="128">
        <v>0</v>
      </c>
      <c r="R451" s="128">
        <v>0</v>
      </c>
      <c r="S451" s="128">
        <f t="shared" ref="S451:S459" si="201">O451-P451-Q451-R451</f>
        <v>7720511.1999999993</v>
      </c>
      <c r="T451" s="128">
        <f t="shared" si="200"/>
        <v>8979.4268434519654</v>
      </c>
      <c r="U451" s="128">
        <v>8979.4268434519654</v>
      </c>
      <c r="V451" s="129"/>
    </row>
    <row r="452" spans="1:22" ht="35.25" x14ac:dyDescent="0.5">
      <c r="A452">
        <v>1</v>
      </c>
      <c r="B452" s="131">
        <f>SUBTOTAL(9,$A$338:A452)</f>
        <v>100</v>
      </c>
      <c r="C452" s="10" t="s">
        <v>289</v>
      </c>
      <c r="D452" s="123"/>
      <c r="E452" s="123">
        <v>1973</v>
      </c>
      <c r="F452" s="123" t="s">
        <v>420</v>
      </c>
      <c r="G452" s="123">
        <v>2</v>
      </c>
      <c r="H452" s="123" t="s">
        <v>320</v>
      </c>
      <c r="I452" s="124">
        <v>780</v>
      </c>
      <c r="J452" s="124">
        <v>726.6</v>
      </c>
      <c r="K452" s="125">
        <v>41</v>
      </c>
      <c r="L452" s="123" t="s">
        <v>418</v>
      </c>
      <c r="M452" s="123" t="s">
        <v>424</v>
      </c>
      <c r="N452" s="126" t="s">
        <v>466</v>
      </c>
      <c r="O452" s="128">
        <v>8100747.6699999999</v>
      </c>
      <c r="P452" s="128">
        <v>0</v>
      </c>
      <c r="Q452" s="128">
        <v>0</v>
      </c>
      <c r="R452" s="128">
        <v>0</v>
      </c>
      <c r="S452" s="128">
        <f t="shared" si="201"/>
        <v>8100747.6699999999</v>
      </c>
      <c r="T452" s="128">
        <f t="shared" si="200"/>
        <v>10385.573935897435</v>
      </c>
      <c r="U452" s="128">
        <v>10580.97</v>
      </c>
      <c r="V452" s="129"/>
    </row>
    <row r="453" spans="1:22" ht="35.25" x14ac:dyDescent="0.5">
      <c r="A453">
        <v>1</v>
      </c>
      <c r="B453" s="131">
        <f>SUBTOTAL(9,$A$338:A453)</f>
        <v>101</v>
      </c>
      <c r="C453" s="10" t="s">
        <v>290</v>
      </c>
      <c r="D453" s="123"/>
      <c r="E453" s="123">
        <v>1974</v>
      </c>
      <c r="F453" s="123" t="s">
        <v>420</v>
      </c>
      <c r="G453" s="123">
        <v>2</v>
      </c>
      <c r="H453" s="123" t="s">
        <v>320</v>
      </c>
      <c r="I453" s="124">
        <v>733.9</v>
      </c>
      <c r="J453" s="124">
        <v>416.7</v>
      </c>
      <c r="K453" s="125">
        <v>42</v>
      </c>
      <c r="L453" s="123" t="s">
        <v>418</v>
      </c>
      <c r="M453" s="123" t="s">
        <v>424</v>
      </c>
      <c r="N453" s="126" t="s">
        <v>466</v>
      </c>
      <c r="O453" s="128">
        <v>8204473.3399999999</v>
      </c>
      <c r="P453" s="128">
        <v>0</v>
      </c>
      <c r="Q453" s="128">
        <v>0</v>
      </c>
      <c r="R453" s="128">
        <v>0</v>
      </c>
      <c r="S453" s="128">
        <f t="shared" si="201"/>
        <v>8204473.3399999999</v>
      </c>
      <c r="T453" s="128">
        <f t="shared" si="200"/>
        <v>11179.279656628969</v>
      </c>
      <c r="U453" s="128">
        <v>11388.71</v>
      </c>
      <c r="V453" s="129"/>
    </row>
    <row r="454" spans="1:22" ht="35.25" x14ac:dyDescent="0.5">
      <c r="A454">
        <v>1</v>
      </c>
      <c r="B454" s="131">
        <f>SUBTOTAL(9,$A$338:A454)</f>
        <v>102</v>
      </c>
      <c r="C454" s="10" t="s">
        <v>291</v>
      </c>
      <c r="D454" s="123"/>
      <c r="E454" s="123">
        <v>1963</v>
      </c>
      <c r="F454" s="123" t="s">
        <v>420</v>
      </c>
      <c r="G454" s="123">
        <v>2</v>
      </c>
      <c r="H454" s="123" t="s">
        <v>320</v>
      </c>
      <c r="I454" s="124">
        <v>642</v>
      </c>
      <c r="J454" s="124">
        <v>642</v>
      </c>
      <c r="K454" s="125">
        <v>42</v>
      </c>
      <c r="L454" s="123" t="s">
        <v>418</v>
      </c>
      <c r="M454" s="123" t="s">
        <v>425</v>
      </c>
      <c r="N454" s="126" t="s">
        <v>426</v>
      </c>
      <c r="O454" s="128">
        <v>8911546.0200000014</v>
      </c>
      <c r="P454" s="128">
        <v>0</v>
      </c>
      <c r="Q454" s="128">
        <v>0</v>
      </c>
      <c r="R454" s="128">
        <v>0</v>
      </c>
      <c r="S454" s="128">
        <f t="shared" si="201"/>
        <v>8911546.0200000014</v>
      </c>
      <c r="T454" s="128">
        <f t="shared" si="200"/>
        <v>13880.91280373832</v>
      </c>
      <c r="U454" s="128">
        <v>14142.07</v>
      </c>
      <c r="V454" s="129"/>
    </row>
    <row r="455" spans="1:22" ht="35.25" x14ac:dyDescent="0.5">
      <c r="A455">
        <v>1</v>
      </c>
      <c r="B455" s="131">
        <f>SUBTOTAL(9,$A$338:A455)</f>
        <v>103</v>
      </c>
      <c r="C455" s="10" t="s">
        <v>292</v>
      </c>
      <c r="D455" s="123"/>
      <c r="E455" s="123">
        <v>1966</v>
      </c>
      <c r="F455" s="123" t="s">
        <v>420</v>
      </c>
      <c r="G455" s="123">
        <v>2</v>
      </c>
      <c r="H455" s="123" t="s">
        <v>320</v>
      </c>
      <c r="I455" s="124">
        <v>690.2</v>
      </c>
      <c r="J455" s="124">
        <v>428.4</v>
      </c>
      <c r="K455" s="125">
        <v>42</v>
      </c>
      <c r="L455" s="123" t="s">
        <v>418</v>
      </c>
      <c r="M455" s="123" t="s">
        <v>424</v>
      </c>
      <c r="N455" s="126" t="s">
        <v>466</v>
      </c>
      <c r="O455" s="128">
        <v>9770075.7299999986</v>
      </c>
      <c r="P455" s="128">
        <v>0</v>
      </c>
      <c r="Q455" s="128">
        <v>0</v>
      </c>
      <c r="R455" s="128">
        <v>0</v>
      </c>
      <c r="S455" s="128">
        <f t="shared" si="201"/>
        <v>9770075.7299999986</v>
      </c>
      <c r="T455" s="128">
        <f t="shared" si="200"/>
        <v>14155.427021153286</v>
      </c>
      <c r="U455" s="128">
        <v>14421.75</v>
      </c>
      <c r="V455" s="129"/>
    </row>
    <row r="456" spans="1:22" ht="35.25" x14ac:dyDescent="0.5">
      <c r="B456" s="145" t="s">
        <v>698</v>
      </c>
      <c r="C456" s="145"/>
      <c r="D456" s="123" t="s">
        <v>423</v>
      </c>
      <c r="E456" s="123" t="s">
        <v>423</v>
      </c>
      <c r="F456" s="123" t="s">
        <v>423</v>
      </c>
      <c r="G456" s="123" t="s">
        <v>423</v>
      </c>
      <c r="H456" s="123" t="s">
        <v>423</v>
      </c>
      <c r="I456" s="124">
        <f>SUM(I457:I459)</f>
        <v>12077.75</v>
      </c>
      <c r="J456" s="124">
        <f t="shared" ref="J456:K456" si="202">SUM(J457:J459)</f>
        <v>9387</v>
      </c>
      <c r="K456" s="125">
        <f t="shared" si="202"/>
        <v>539</v>
      </c>
      <c r="L456" s="123" t="s">
        <v>423</v>
      </c>
      <c r="M456" s="123" t="s">
        <v>423</v>
      </c>
      <c r="N456" s="126" t="s">
        <v>423</v>
      </c>
      <c r="O456" s="128">
        <f>SUM(O457:O459)</f>
        <v>48109009.640000001</v>
      </c>
      <c r="P456" s="128">
        <f t="shared" ref="P456:S456" si="203">SUM(P457:P459)</f>
        <v>0</v>
      </c>
      <c r="Q456" s="128">
        <f t="shared" si="203"/>
        <v>0</v>
      </c>
      <c r="R456" s="128">
        <f t="shared" si="203"/>
        <v>0</v>
      </c>
      <c r="S456" s="128">
        <f t="shared" si="203"/>
        <v>48109009.640000001</v>
      </c>
      <c r="T456" s="128">
        <f t="shared" si="200"/>
        <v>3983.2758286932585</v>
      </c>
      <c r="U456" s="128">
        <f>MAX(U457:U459)</f>
        <v>10018.85</v>
      </c>
      <c r="V456" s="129"/>
    </row>
    <row r="457" spans="1:22" ht="35.25" x14ac:dyDescent="0.5">
      <c r="A457">
        <v>1</v>
      </c>
      <c r="B457" s="131">
        <f>SUBTOTAL(9,$A$338:A457)</f>
        <v>104</v>
      </c>
      <c r="C457" s="10" t="s">
        <v>293</v>
      </c>
      <c r="D457" s="123"/>
      <c r="E457" s="123">
        <v>1976</v>
      </c>
      <c r="F457" s="123" t="s">
        <v>420</v>
      </c>
      <c r="G457" s="123">
        <v>5</v>
      </c>
      <c r="H457" s="123" t="s">
        <v>324</v>
      </c>
      <c r="I457" s="124">
        <v>5894.85</v>
      </c>
      <c r="J457" s="124">
        <v>4491.5</v>
      </c>
      <c r="K457" s="125">
        <v>255</v>
      </c>
      <c r="L457" s="123" t="s">
        <v>418</v>
      </c>
      <c r="M457" s="123" t="s">
        <v>424</v>
      </c>
      <c r="N457" s="126" t="s">
        <v>471</v>
      </c>
      <c r="O457" s="128">
        <v>19765352.07</v>
      </c>
      <c r="P457" s="128">
        <v>0</v>
      </c>
      <c r="Q457" s="128">
        <v>0</v>
      </c>
      <c r="R457" s="128">
        <v>0</v>
      </c>
      <c r="S457" s="128">
        <f t="shared" si="201"/>
        <v>19765352.07</v>
      </c>
      <c r="T457" s="128">
        <f t="shared" si="200"/>
        <v>3352.9864322247386</v>
      </c>
      <c r="U457" s="128">
        <v>3416.07</v>
      </c>
      <c r="V457" s="129"/>
    </row>
    <row r="458" spans="1:22" ht="35.25" x14ac:dyDescent="0.5">
      <c r="A458">
        <v>1</v>
      </c>
      <c r="B458" s="131">
        <f>SUBTOTAL(9,$A$338:A458)</f>
        <v>105</v>
      </c>
      <c r="C458" s="10" t="s">
        <v>294</v>
      </c>
      <c r="D458" s="123"/>
      <c r="E458" s="123">
        <v>1982</v>
      </c>
      <c r="F458" s="123" t="s">
        <v>420</v>
      </c>
      <c r="G458" s="123">
        <v>5</v>
      </c>
      <c r="H458" s="123" t="s">
        <v>324</v>
      </c>
      <c r="I458" s="124">
        <v>5448.7</v>
      </c>
      <c r="J458" s="124">
        <v>4414.5</v>
      </c>
      <c r="K458" s="125">
        <v>247</v>
      </c>
      <c r="L458" s="123" t="s">
        <v>418</v>
      </c>
      <c r="M458" s="123" t="s">
        <v>424</v>
      </c>
      <c r="N458" s="126" t="s">
        <v>468</v>
      </c>
      <c r="O458" s="128">
        <v>21123655</v>
      </c>
      <c r="P458" s="128">
        <v>0</v>
      </c>
      <c r="Q458" s="128">
        <v>0</v>
      </c>
      <c r="R458" s="128">
        <v>0</v>
      </c>
      <c r="S458" s="128">
        <f t="shared" si="201"/>
        <v>21123655</v>
      </c>
      <c r="T458" s="128">
        <f t="shared" si="200"/>
        <v>3876.8247471874024</v>
      </c>
      <c r="U458" s="128">
        <v>3949.77</v>
      </c>
      <c r="V458" s="129"/>
    </row>
    <row r="459" spans="1:22" ht="35.25" x14ac:dyDescent="0.5">
      <c r="A459">
        <v>1</v>
      </c>
      <c r="B459" s="131">
        <f>SUBTOTAL(9,$A$338:A459)</f>
        <v>106</v>
      </c>
      <c r="C459" s="10" t="s">
        <v>295</v>
      </c>
      <c r="D459" s="123"/>
      <c r="E459" s="123">
        <v>1976</v>
      </c>
      <c r="F459" s="123" t="s">
        <v>420</v>
      </c>
      <c r="G459" s="123">
        <v>2</v>
      </c>
      <c r="H459" s="123" t="s">
        <v>320</v>
      </c>
      <c r="I459" s="124">
        <v>734.2</v>
      </c>
      <c r="J459" s="124">
        <v>481</v>
      </c>
      <c r="K459" s="125">
        <v>37</v>
      </c>
      <c r="L459" s="123" t="s">
        <v>418</v>
      </c>
      <c r="M459" s="123" t="s">
        <v>425</v>
      </c>
      <c r="N459" s="126" t="s">
        <v>426</v>
      </c>
      <c r="O459" s="128">
        <v>7220002.5700000003</v>
      </c>
      <c r="P459" s="128">
        <v>0</v>
      </c>
      <c r="Q459" s="128">
        <v>0</v>
      </c>
      <c r="R459" s="128">
        <v>0</v>
      </c>
      <c r="S459" s="128">
        <f t="shared" si="201"/>
        <v>7220002.5700000003</v>
      </c>
      <c r="T459" s="128">
        <f t="shared" si="200"/>
        <v>9833.8362435303734</v>
      </c>
      <c r="U459" s="128">
        <v>10018.85</v>
      </c>
      <c r="V459" s="129"/>
    </row>
    <row r="460" spans="1:22" ht="35.25" x14ac:dyDescent="0.5">
      <c r="B460" s="122" t="s">
        <v>690</v>
      </c>
      <c r="C460" s="122"/>
      <c r="D460" s="123" t="s">
        <v>423</v>
      </c>
      <c r="E460" s="123" t="s">
        <v>423</v>
      </c>
      <c r="F460" s="123" t="s">
        <v>423</v>
      </c>
      <c r="G460" s="123" t="s">
        <v>423</v>
      </c>
      <c r="H460" s="123" t="s">
        <v>423</v>
      </c>
      <c r="I460" s="124">
        <f>I461</f>
        <v>960.1</v>
      </c>
      <c r="J460" s="124">
        <f t="shared" ref="J460:K460" si="204">J461</f>
        <v>872.2</v>
      </c>
      <c r="K460" s="125">
        <f t="shared" si="204"/>
        <v>40</v>
      </c>
      <c r="L460" s="123" t="s">
        <v>423</v>
      </c>
      <c r="M460" s="123" t="s">
        <v>423</v>
      </c>
      <c r="N460" s="126" t="s">
        <v>423</v>
      </c>
      <c r="O460" s="128">
        <v>12022272.17</v>
      </c>
      <c r="P460" s="128">
        <f t="shared" ref="P460:S460" si="205">P461</f>
        <v>0</v>
      </c>
      <c r="Q460" s="128">
        <f t="shared" si="205"/>
        <v>0</v>
      </c>
      <c r="R460" s="128">
        <f t="shared" si="205"/>
        <v>0</v>
      </c>
      <c r="S460" s="128">
        <f t="shared" si="205"/>
        <v>12022272.17</v>
      </c>
      <c r="T460" s="128">
        <f t="shared" si="189"/>
        <v>12521.895812936153</v>
      </c>
      <c r="U460" s="128">
        <f>U461</f>
        <v>13201.42</v>
      </c>
      <c r="V460" s="129"/>
    </row>
    <row r="461" spans="1:22" ht="35.25" x14ac:dyDescent="0.5">
      <c r="A461">
        <v>1</v>
      </c>
      <c r="B461" s="131">
        <f>SUBTOTAL(9,$A$338:A461)</f>
        <v>107</v>
      </c>
      <c r="C461" s="10" t="s">
        <v>226</v>
      </c>
      <c r="D461" s="123"/>
      <c r="E461" s="123">
        <v>1995</v>
      </c>
      <c r="F461" s="123" t="s">
        <v>420</v>
      </c>
      <c r="G461" s="123">
        <v>2</v>
      </c>
      <c r="H461" s="123" t="s">
        <v>327</v>
      </c>
      <c r="I461" s="124">
        <v>960.1</v>
      </c>
      <c r="J461" s="124">
        <v>872.2</v>
      </c>
      <c r="K461" s="125">
        <v>40</v>
      </c>
      <c r="L461" s="123" t="s">
        <v>418</v>
      </c>
      <c r="M461" s="123" t="s">
        <v>425</v>
      </c>
      <c r="N461" s="126" t="s">
        <v>426</v>
      </c>
      <c r="O461" s="128">
        <v>12022272.17</v>
      </c>
      <c r="P461" s="128">
        <v>0</v>
      </c>
      <c r="Q461" s="128">
        <v>0</v>
      </c>
      <c r="R461" s="128">
        <v>0</v>
      </c>
      <c r="S461" s="128">
        <f t="shared" si="190"/>
        <v>12022272.17</v>
      </c>
      <c r="T461" s="128">
        <f t="shared" si="189"/>
        <v>12521.895812936153</v>
      </c>
      <c r="U461" s="128">
        <v>13201.42</v>
      </c>
      <c r="V461" s="129"/>
    </row>
    <row r="462" spans="1:22" ht="35.25" x14ac:dyDescent="0.5">
      <c r="B462" s="122" t="s">
        <v>242</v>
      </c>
      <c r="C462" s="122"/>
      <c r="D462" s="123" t="s">
        <v>423</v>
      </c>
      <c r="E462" s="123" t="s">
        <v>423</v>
      </c>
      <c r="F462" s="123" t="s">
        <v>423</v>
      </c>
      <c r="G462" s="123" t="s">
        <v>423</v>
      </c>
      <c r="H462" s="123" t="s">
        <v>423</v>
      </c>
      <c r="I462" s="124">
        <f>SUM(I463:I467)</f>
        <v>18016.48</v>
      </c>
      <c r="J462" s="124">
        <f t="shared" ref="J462:K462" si="206">SUM(J463:J467)</f>
        <v>11806.3</v>
      </c>
      <c r="K462" s="125">
        <f t="shared" si="206"/>
        <v>526</v>
      </c>
      <c r="L462" s="123" t="s">
        <v>423</v>
      </c>
      <c r="M462" s="123" t="s">
        <v>423</v>
      </c>
      <c r="N462" s="126" t="s">
        <v>423</v>
      </c>
      <c r="O462" s="128">
        <f>SUM(O463:O467)</f>
        <v>53842195.050000004</v>
      </c>
      <c r="P462" s="128">
        <f t="shared" ref="P462:S462" si="207">SUM(P463:P467)</f>
        <v>0</v>
      </c>
      <c r="Q462" s="128">
        <f t="shared" si="207"/>
        <v>0</v>
      </c>
      <c r="R462" s="128">
        <f t="shared" si="207"/>
        <v>0</v>
      </c>
      <c r="S462" s="128">
        <f t="shared" si="207"/>
        <v>53842195.050000004</v>
      </c>
      <c r="T462" s="128">
        <f t="shared" ref="T462:T504" si="208">O462/I462</f>
        <v>2988.4969233723796</v>
      </c>
      <c r="U462" s="128">
        <f>MAX(U463:U467)</f>
        <v>14693.36</v>
      </c>
      <c r="V462" s="129"/>
    </row>
    <row r="463" spans="1:22" ht="35.25" x14ac:dyDescent="0.5">
      <c r="A463">
        <v>1</v>
      </c>
      <c r="B463" s="131">
        <f>SUBTOTAL(9,$A$338:A463)</f>
        <v>108</v>
      </c>
      <c r="C463" s="10" t="s">
        <v>237</v>
      </c>
      <c r="D463" s="123"/>
      <c r="E463" s="123">
        <v>1965</v>
      </c>
      <c r="F463" s="123" t="s">
        <v>420</v>
      </c>
      <c r="G463" s="123">
        <v>5</v>
      </c>
      <c r="H463" s="123" t="s">
        <v>320</v>
      </c>
      <c r="I463" s="124">
        <v>3312.18</v>
      </c>
      <c r="J463" s="124">
        <v>2153.9</v>
      </c>
      <c r="K463" s="125">
        <v>84</v>
      </c>
      <c r="L463" s="123" t="s">
        <v>418</v>
      </c>
      <c r="M463" s="123" t="s">
        <v>424</v>
      </c>
      <c r="N463" s="126" t="s">
        <v>457</v>
      </c>
      <c r="O463" s="128">
        <v>8518016.2100000009</v>
      </c>
      <c r="P463" s="128">
        <v>0</v>
      </c>
      <c r="Q463" s="128">
        <v>0</v>
      </c>
      <c r="R463" s="128">
        <v>0</v>
      </c>
      <c r="S463" s="128">
        <f t="shared" ref="S463:S484" si="209">O463-P463-Q463-R463</f>
        <v>8518016.2100000009</v>
      </c>
      <c r="T463" s="128">
        <f t="shared" si="208"/>
        <v>2571.7250300406381</v>
      </c>
      <c r="U463" s="128">
        <v>2620.11</v>
      </c>
      <c r="V463" s="129"/>
    </row>
    <row r="464" spans="1:22" ht="35.25" x14ac:dyDescent="0.5">
      <c r="A464">
        <v>1</v>
      </c>
      <c r="B464" s="131">
        <f>SUBTOTAL(9,$A$338:A464)</f>
        <v>109</v>
      </c>
      <c r="C464" s="10" t="s">
        <v>238</v>
      </c>
      <c r="D464" s="123"/>
      <c r="E464" s="123">
        <v>1965</v>
      </c>
      <c r="F464" s="123" t="s">
        <v>420</v>
      </c>
      <c r="G464" s="123">
        <v>2</v>
      </c>
      <c r="H464" s="123" t="s">
        <v>320</v>
      </c>
      <c r="I464" s="124">
        <v>724.14</v>
      </c>
      <c r="J464" s="124">
        <v>628.9</v>
      </c>
      <c r="K464" s="125">
        <v>33</v>
      </c>
      <c r="L464" s="123" t="s">
        <v>418</v>
      </c>
      <c r="M464" s="123" t="s">
        <v>425</v>
      </c>
      <c r="N464" s="126" t="s">
        <v>426</v>
      </c>
      <c r="O464" s="128">
        <v>7522766.6300000008</v>
      </c>
      <c r="P464" s="128">
        <v>0</v>
      </c>
      <c r="Q464" s="128">
        <v>0</v>
      </c>
      <c r="R464" s="128">
        <v>0</v>
      </c>
      <c r="S464" s="128">
        <f t="shared" si="209"/>
        <v>7522766.6300000008</v>
      </c>
      <c r="T464" s="128">
        <f t="shared" si="208"/>
        <v>10388.55280746817</v>
      </c>
      <c r="U464" s="128">
        <v>14693.36</v>
      </c>
      <c r="V464" s="129"/>
    </row>
    <row r="465" spans="1:22" ht="35.25" x14ac:dyDescent="0.5">
      <c r="A465">
        <v>1</v>
      </c>
      <c r="B465" s="131">
        <f>SUBTOTAL(9,$A$338:A465)</f>
        <v>110</v>
      </c>
      <c r="C465" s="10" t="s">
        <v>239</v>
      </c>
      <c r="D465" s="123"/>
      <c r="E465" s="123">
        <v>1989</v>
      </c>
      <c r="F465" s="123" t="s">
        <v>420</v>
      </c>
      <c r="G465" s="123">
        <v>5</v>
      </c>
      <c r="H465" s="123" t="s">
        <v>335</v>
      </c>
      <c r="I465" s="124">
        <v>5301.9</v>
      </c>
      <c r="J465" s="124">
        <v>3688.7</v>
      </c>
      <c r="K465" s="125">
        <v>176</v>
      </c>
      <c r="L465" s="123" t="s">
        <v>418</v>
      </c>
      <c r="M465" s="123" t="s">
        <v>424</v>
      </c>
      <c r="N465" s="126" t="s">
        <v>455</v>
      </c>
      <c r="O465" s="128">
        <v>13858352.5</v>
      </c>
      <c r="P465" s="128">
        <v>0</v>
      </c>
      <c r="Q465" s="128">
        <v>0</v>
      </c>
      <c r="R465" s="128">
        <v>0</v>
      </c>
      <c r="S465" s="128">
        <f t="shared" si="209"/>
        <v>13858352.5</v>
      </c>
      <c r="T465" s="128">
        <f t="shared" si="208"/>
        <v>2613.8464512721857</v>
      </c>
      <c r="U465" s="128">
        <v>2805.29</v>
      </c>
      <c r="V465" s="129"/>
    </row>
    <row r="466" spans="1:22" ht="35.25" x14ac:dyDescent="0.5">
      <c r="A466">
        <v>1</v>
      </c>
      <c r="B466" s="131">
        <f>SUBTOTAL(9,$A$338:A466)</f>
        <v>111</v>
      </c>
      <c r="C466" s="10" t="s">
        <v>240</v>
      </c>
      <c r="D466" s="123"/>
      <c r="E466" s="123">
        <v>1992</v>
      </c>
      <c r="F466" s="123" t="s">
        <v>421</v>
      </c>
      <c r="G466" s="123">
        <v>5</v>
      </c>
      <c r="H466" s="123" t="s">
        <v>322</v>
      </c>
      <c r="I466" s="124">
        <v>7998.26</v>
      </c>
      <c r="J466" s="124">
        <v>4654.8</v>
      </c>
      <c r="K466" s="125">
        <v>194</v>
      </c>
      <c r="L466" s="123" t="s">
        <v>418</v>
      </c>
      <c r="M466" s="123" t="s">
        <v>424</v>
      </c>
      <c r="N466" s="126" t="s">
        <v>455</v>
      </c>
      <c r="O466" s="128">
        <v>15641642.419999998</v>
      </c>
      <c r="P466" s="128">
        <v>0</v>
      </c>
      <c r="Q466" s="128">
        <v>0</v>
      </c>
      <c r="R466" s="128">
        <v>0</v>
      </c>
      <c r="S466" s="128">
        <f t="shared" si="209"/>
        <v>15641642.419999998</v>
      </c>
      <c r="T466" s="128">
        <f t="shared" si="208"/>
        <v>1955.6306521668459</v>
      </c>
      <c r="U466" s="128">
        <v>2133.0100000000002</v>
      </c>
      <c r="V466" s="129"/>
    </row>
    <row r="467" spans="1:22" ht="35.25" x14ac:dyDescent="0.5">
      <c r="A467">
        <v>1</v>
      </c>
      <c r="B467" s="131">
        <f>SUBTOTAL(9,$A$338:A467)</f>
        <v>112</v>
      </c>
      <c r="C467" s="10" t="s">
        <v>241</v>
      </c>
      <c r="D467" s="123"/>
      <c r="E467" s="123">
        <v>1972</v>
      </c>
      <c r="F467" s="123" t="s">
        <v>420</v>
      </c>
      <c r="G467" s="123">
        <v>2</v>
      </c>
      <c r="H467" s="123" t="s">
        <v>320</v>
      </c>
      <c r="I467" s="124">
        <v>680</v>
      </c>
      <c r="J467" s="124">
        <v>680</v>
      </c>
      <c r="K467" s="125">
        <v>39</v>
      </c>
      <c r="L467" s="123" t="s">
        <v>418</v>
      </c>
      <c r="M467" s="123" t="s">
        <v>424</v>
      </c>
      <c r="N467" s="126" t="s">
        <v>458</v>
      </c>
      <c r="O467" s="128">
        <v>8301417.29</v>
      </c>
      <c r="P467" s="128">
        <v>0</v>
      </c>
      <c r="Q467" s="128">
        <v>0</v>
      </c>
      <c r="R467" s="128">
        <v>0</v>
      </c>
      <c r="S467" s="128">
        <f t="shared" si="209"/>
        <v>8301417.29</v>
      </c>
      <c r="T467" s="128">
        <f t="shared" si="208"/>
        <v>12207.966602941176</v>
      </c>
      <c r="U467" s="128">
        <v>12437.65</v>
      </c>
      <c r="V467" s="129"/>
    </row>
    <row r="468" spans="1:22" ht="35.25" x14ac:dyDescent="0.5">
      <c r="B468" s="122" t="s">
        <v>670</v>
      </c>
      <c r="C468" s="122"/>
      <c r="D468" s="123" t="s">
        <v>423</v>
      </c>
      <c r="E468" s="123" t="s">
        <v>423</v>
      </c>
      <c r="F468" s="123" t="s">
        <v>423</v>
      </c>
      <c r="G468" s="123" t="s">
        <v>423</v>
      </c>
      <c r="H468" s="123" t="s">
        <v>423</v>
      </c>
      <c r="I468" s="124">
        <f>I469+I470+I471+I472+I473+I474</f>
        <v>6700.91</v>
      </c>
      <c r="J468" s="124">
        <f t="shared" ref="J468:K468" si="210">J469+J470+J471+J472+J473+J474</f>
        <v>6055.7</v>
      </c>
      <c r="K468" s="125">
        <f t="shared" si="210"/>
        <v>464</v>
      </c>
      <c r="L468" s="123" t="s">
        <v>423</v>
      </c>
      <c r="M468" s="123" t="s">
        <v>423</v>
      </c>
      <c r="N468" s="126" t="s">
        <v>423</v>
      </c>
      <c r="O468" s="128">
        <f>SUM(O469:O474)</f>
        <v>33777859.039999999</v>
      </c>
      <c r="P468" s="128">
        <f t="shared" ref="P468:S468" si="211">SUM(P469:P474)</f>
        <v>0</v>
      </c>
      <c r="Q468" s="128">
        <f t="shared" si="211"/>
        <v>0</v>
      </c>
      <c r="R468" s="128">
        <f t="shared" si="211"/>
        <v>0</v>
      </c>
      <c r="S468" s="128">
        <f t="shared" si="211"/>
        <v>33777859.039999999</v>
      </c>
      <c r="T468" s="128">
        <f t="shared" si="208"/>
        <v>5040.7868543227714</v>
      </c>
      <c r="U468" s="128">
        <f>MAX(U469:U474)</f>
        <v>15161.65</v>
      </c>
      <c r="V468" s="129"/>
    </row>
    <row r="469" spans="1:22" ht="35.25" x14ac:dyDescent="0.5">
      <c r="A469">
        <v>1</v>
      </c>
      <c r="B469" s="131">
        <f>SUBTOTAL(9,$A$338:A469)</f>
        <v>113</v>
      </c>
      <c r="C469" s="10" t="s">
        <v>251</v>
      </c>
      <c r="D469" s="123"/>
      <c r="E469" s="123">
        <v>1969</v>
      </c>
      <c r="F469" s="123" t="s">
        <v>420</v>
      </c>
      <c r="G469" s="123">
        <v>5</v>
      </c>
      <c r="H469" s="123" t="s">
        <v>327</v>
      </c>
      <c r="I469" s="124">
        <v>3582.1</v>
      </c>
      <c r="J469" s="124">
        <v>3581.6</v>
      </c>
      <c r="K469" s="125">
        <v>358</v>
      </c>
      <c r="L469" s="123" t="s">
        <v>418</v>
      </c>
      <c r="M469" s="123" t="s">
        <v>424</v>
      </c>
      <c r="N469" s="126" t="s">
        <v>460</v>
      </c>
      <c r="O469" s="128">
        <v>2616115.09</v>
      </c>
      <c r="P469" s="128">
        <v>0</v>
      </c>
      <c r="Q469" s="128">
        <v>0</v>
      </c>
      <c r="R469" s="128">
        <v>0</v>
      </c>
      <c r="S469" s="128">
        <f t="shared" si="209"/>
        <v>2616115.09</v>
      </c>
      <c r="T469" s="128">
        <f t="shared" si="208"/>
        <v>730.32999916250242</v>
      </c>
      <c r="U469" s="128">
        <v>730.33</v>
      </c>
      <c r="V469" s="129"/>
    </row>
    <row r="470" spans="1:22" ht="35.25" x14ac:dyDescent="0.5">
      <c r="A470">
        <v>1</v>
      </c>
      <c r="B470" s="131">
        <f>SUBTOTAL(9,$A$338:A470)</f>
        <v>114</v>
      </c>
      <c r="C470" s="10" t="s">
        <v>252</v>
      </c>
      <c r="D470" s="123"/>
      <c r="E470" s="123">
        <v>1961</v>
      </c>
      <c r="F470" s="123" t="s">
        <v>420</v>
      </c>
      <c r="G470" s="123">
        <v>2</v>
      </c>
      <c r="H470" s="123" t="s">
        <v>320</v>
      </c>
      <c r="I470" s="124">
        <v>356.6</v>
      </c>
      <c r="J470" s="124">
        <v>273.3</v>
      </c>
      <c r="K470" s="125">
        <v>8</v>
      </c>
      <c r="L470" s="123" t="s">
        <v>418</v>
      </c>
      <c r="M470" s="123" t="s">
        <v>424</v>
      </c>
      <c r="N470" s="126" t="s">
        <v>462</v>
      </c>
      <c r="O470" s="128">
        <v>4950858.9000000004</v>
      </c>
      <c r="P470" s="128">
        <v>0</v>
      </c>
      <c r="Q470" s="128">
        <v>0</v>
      </c>
      <c r="R470" s="128">
        <v>0</v>
      </c>
      <c r="S470" s="128">
        <f t="shared" si="209"/>
        <v>4950858.9000000004</v>
      </c>
      <c r="T470" s="128">
        <f t="shared" si="208"/>
        <v>13883.507851934941</v>
      </c>
      <c r="U470" s="128">
        <v>14144.72</v>
      </c>
      <c r="V470" s="129"/>
    </row>
    <row r="471" spans="1:22" ht="35.25" x14ac:dyDescent="0.5">
      <c r="A471">
        <v>1</v>
      </c>
      <c r="B471" s="131">
        <f>SUBTOTAL(9,$A$338:A471)</f>
        <v>115</v>
      </c>
      <c r="C471" s="10" t="s">
        <v>253</v>
      </c>
      <c r="D471" s="123"/>
      <c r="E471" s="123">
        <v>1968</v>
      </c>
      <c r="F471" s="123" t="s">
        <v>420</v>
      </c>
      <c r="G471" s="123">
        <v>2</v>
      </c>
      <c r="H471" s="123" t="s">
        <v>320</v>
      </c>
      <c r="I471" s="124">
        <v>783.81</v>
      </c>
      <c r="J471" s="124">
        <v>726</v>
      </c>
      <c r="K471" s="125">
        <v>20</v>
      </c>
      <c r="L471" s="123" t="s">
        <v>418</v>
      </c>
      <c r="M471" s="123" t="s">
        <v>424</v>
      </c>
      <c r="N471" s="126" t="s">
        <v>461</v>
      </c>
      <c r="O471" s="128">
        <v>441029.75</v>
      </c>
      <c r="P471" s="128">
        <v>0</v>
      </c>
      <c r="Q471" s="128">
        <v>0</v>
      </c>
      <c r="R471" s="128">
        <v>0</v>
      </c>
      <c r="S471" s="128">
        <f t="shared" si="209"/>
        <v>441029.75</v>
      </c>
      <c r="T471" s="128">
        <f t="shared" si="208"/>
        <v>562.6743088248428</v>
      </c>
      <c r="U471" s="128">
        <v>562.6743088248428</v>
      </c>
      <c r="V471" s="129"/>
    </row>
    <row r="472" spans="1:22" ht="35.25" x14ac:dyDescent="0.5">
      <c r="A472">
        <v>1</v>
      </c>
      <c r="B472" s="131">
        <f>SUBTOTAL(9,$A$338:A472)</f>
        <v>116</v>
      </c>
      <c r="C472" s="10" t="s">
        <v>254</v>
      </c>
      <c r="D472" s="123"/>
      <c r="E472" s="123">
        <v>1974</v>
      </c>
      <c r="F472" s="123" t="s">
        <v>420</v>
      </c>
      <c r="G472" s="123">
        <v>2</v>
      </c>
      <c r="H472" s="123" t="s">
        <v>320</v>
      </c>
      <c r="I472" s="124">
        <v>715</v>
      </c>
      <c r="J472" s="124">
        <v>449.7</v>
      </c>
      <c r="K472" s="125">
        <v>16</v>
      </c>
      <c r="L472" s="123" t="s">
        <v>418</v>
      </c>
      <c r="M472" s="123" t="s">
        <v>425</v>
      </c>
      <c r="N472" s="126" t="s">
        <v>426</v>
      </c>
      <c r="O472" s="128">
        <v>9901717.8000000007</v>
      </c>
      <c r="P472" s="128">
        <v>0</v>
      </c>
      <c r="Q472" s="128">
        <v>0</v>
      </c>
      <c r="R472" s="128">
        <v>0</v>
      </c>
      <c r="S472" s="128">
        <f t="shared" si="209"/>
        <v>9901717.8000000007</v>
      </c>
      <c r="T472" s="128">
        <f t="shared" si="208"/>
        <v>13848.556363636364</v>
      </c>
      <c r="U472" s="128">
        <v>14109.11</v>
      </c>
      <c r="V472" s="129"/>
    </row>
    <row r="473" spans="1:22" ht="35.25" x14ac:dyDescent="0.5">
      <c r="A473">
        <v>1</v>
      </c>
      <c r="B473" s="131">
        <f>SUBTOTAL(9,$A$338:A473)</f>
        <v>117</v>
      </c>
      <c r="C473" s="10" t="s">
        <v>255</v>
      </c>
      <c r="D473" s="123"/>
      <c r="E473" s="123">
        <v>1965</v>
      </c>
      <c r="F473" s="123" t="s">
        <v>420</v>
      </c>
      <c r="G473" s="123">
        <v>2</v>
      </c>
      <c r="H473" s="123" t="s">
        <v>320</v>
      </c>
      <c r="I473" s="124">
        <v>700.4</v>
      </c>
      <c r="J473" s="124">
        <v>462.1</v>
      </c>
      <c r="K473" s="125">
        <v>36</v>
      </c>
      <c r="L473" s="123" t="s">
        <v>418</v>
      </c>
      <c r="M473" s="123" t="s">
        <v>424</v>
      </c>
      <c r="N473" s="126" t="s">
        <v>459</v>
      </c>
      <c r="O473" s="128">
        <v>7489760.9000000004</v>
      </c>
      <c r="P473" s="128">
        <v>0</v>
      </c>
      <c r="Q473" s="128">
        <v>0</v>
      </c>
      <c r="R473" s="128">
        <v>0</v>
      </c>
      <c r="S473" s="128">
        <f t="shared" si="209"/>
        <v>7489760.9000000004</v>
      </c>
      <c r="T473" s="128">
        <f t="shared" si="208"/>
        <v>10693.547829811538</v>
      </c>
      <c r="U473" s="128">
        <v>10894.74</v>
      </c>
      <c r="V473" s="129"/>
    </row>
    <row r="474" spans="1:22" ht="35.25" x14ac:dyDescent="0.5">
      <c r="A474">
        <v>1</v>
      </c>
      <c r="B474" s="131">
        <f>SUBTOTAL(9,$A$338:A474)</f>
        <v>118</v>
      </c>
      <c r="C474" s="10" t="s">
        <v>256</v>
      </c>
      <c r="D474" s="123"/>
      <c r="E474" s="123">
        <v>1984</v>
      </c>
      <c r="F474" s="123" t="s">
        <v>421</v>
      </c>
      <c r="G474" s="123">
        <v>2</v>
      </c>
      <c r="H474" s="123" t="s">
        <v>320</v>
      </c>
      <c r="I474" s="124">
        <v>563</v>
      </c>
      <c r="J474" s="124">
        <v>563</v>
      </c>
      <c r="K474" s="125">
        <v>26</v>
      </c>
      <c r="L474" s="123" t="s">
        <v>418</v>
      </c>
      <c r="M474" s="123" t="s">
        <v>424</v>
      </c>
      <c r="N474" s="126" t="s">
        <v>463</v>
      </c>
      <c r="O474" s="128">
        <v>8378376.5999999996</v>
      </c>
      <c r="P474" s="128">
        <v>0</v>
      </c>
      <c r="Q474" s="128">
        <v>0</v>
      </c>
      <c r="R474" s="128">
        <v>0</v>
      </c>
      <c r="S474" s="128">
        <f t="shared" si="209"/>
        <v>8378376.5999999996</v>
      </c>
      <c r="T474" s="128">
        <f t="shared" si="208"/>
        <v>14881.663587921847</v>
      </c>
      <c r="U474" s="128">
        <v>15161.65</v>
      </c>
      <c r="V474" s="129"/>
    </row>
    <row r="475" spans="1:22" ht="35.25" x14ac:dyDescent="0.5">
      <c r="B475" s="122" t="s">
        <v>266</v>
      </c>
      <c r="C475" s="122"/>
      <c r="D475" s="123" t="s">
        <v>423</v>
      </c>
      <c r="E475" s="123" t="s">
        <v>423</v>
      </c>
      <c r="F475" s="123" t="s">
        <v>423</v>
      </c>
      <c r="G475" s="123" t="s">
        <v>423</v>
      </c>
      <c r="H475" s="123" t="s">
        <v>423</v>
      </c>
      <c r="I475" s="124">
        <f>I476</f>
        <v>402.9</v>
      </c>
      <c r="J475" s="124">
        <f t="shared" ref="J475:K475" si="212">J476</f>
        <v>325.89999999999998</v>
      </c>
      <c r="K475" s="125">
        <f t="shared" si="212"/>
        <v>36</v>
      </c>
      <c r="L475" s="123" t="s">
        <v>423</v>
      </c>
      <c r="M475" s="123" t="s">
        <v>423</v>
      </c>
      <c r="N475" s="126" t="s">
        <v>423</v>
      </c>
      <c r="O475" s="128">
        <v>4441177.17</v>
      </c>
      <c r="P475" s="128">
        <f t="shared" ref="P475:S475" si="213">P476</f>
        <v>0</v>
      </c>
      <c r="Q475" s="128">
        <f t="shared" si="213"/>
        <v>0</v>
      </c>
      <c r="R475" s="128">
        <f t="shared" si="213"/>
        <v>0</v>
      </c>
      <c r="S475" s="128">
        <f t="shared" si="213"/>
        <v>4441177.17</v>
      </c>
      <c r="T475" s="128">
        <f t="shared" si="208"/>
        <v>11023.025986597171</v>
      </c>
      <c r="U475" s="128">
        <f>U476</f>
        <v>11023.03</v>
      </c>
      <c r="V475" s="129"/>
    </row>
    <row r="476" spans="1:22" ht="35.25" x14ac:dyDescent="0.5">
      <c r="A476">
        <v>1</v>
      </c>
      <c r="B476" s="131">
        <f>SUBTOTAL(9,$A$338:A476)</f>
        <v>119</v>
      </c>
      <c r="C476" s="10" t="s">
        <v>260</v>
      </c>
      <c r="D476" s="123"/>
      <c r="E476" s="123">
        <v>1983</v>
      </c>
      <c r="F476" s="123" t="s">
        <v>421</v>
      </c>
      <c r="G476" s="123">
        <v>2</v>
      </c>
      <c r="H476" s="123" t="s">
        <v>320</v>
      </c>
      <c r="I476" s="124">
        <v>402.9</v>
      </c>
      <c r="J476" s="124">
        <v>325.89999999999998</v>
      </c>
      <c r="K476" s="125">
        <v>36</v>
      </c>
      <c r="L476" s="123" t="s">
        <v>418</v>
      </c>
      <c r="M476" s="123" t="s">
        <v>425</v>
      </c>
      <c r="N476" s="126" t="s">
        <v>426</v>
      </c>
      <c r="O476" s="128">
        <v>4441177.17</v>
      </c>
      <c r="P476" s="128">
        <v>0</v>
      </c>
      <c r="Q476" s="128">
        <v>0</v>
      </c>
      <c r="R476" s="128">
        <v>0</v>
      </c>
      <c r="S476" s="128">
        <f t="shared" si="209"/>
        <v>4441177.17</v>
      </c>
      <c r="T476" s="128">
        <f t="shared" si="208"/>
        <v>11023.025986597171</v>
      </c>
      <c r="U476" s="128">
        <v>11023.03</v>
      </c>
      <c r="V476" s="129"/>
    </row>
    <row r="477" spans="1:22" ht="35.25" x14ac:dyDescent="0.5">
      <c r="B477" s="122" t="s">
        <v>264</v>
      </c>
      <c r="C477" s="122"/>
      <c r="D477" s="123" t="s">
        <v>423</v>
      </c>
      <c r="E477" s="123" t="s">
        <v>423</v>
      </c>
      <c r="F477" s="123" t="s">
        <v>423</v>
      </c>
      <c r="G477" s="123" t="s">
        <v>423</v>
      </c>
      <c r="H477" s="123" t="s">
        <v>423</v>
      </c>
      <c r="I477" s="124">
        <f>I478</f>
        <v>432.7</v>
      </c>
      <c r="J477" s="124">
        <f t="shared" ref="J477:K477" si="214">J478</f>
        <v>432.7</v>
      </c>
      <c r="K477" s="125">
        <f t="shared" si="214"/>
        <v>21</v>
      </c>
      <c r="L477" s="123" t="s">
        <v>423</v>
      </c>
      <c r="M477" s="123" t="s">
        <v>423</v>
      </c>
      <c r="N477" s="126" t="s">
        <v>423</v>
      </c>
      <c r="O477" s="128">
        <v>4595412.62</v>
      </c>
      <c r="P477" s="128">
        <f t="shared" ref="P477:S477" si="215">P478</f>
        <v>0</v>
      </c>
      <c r="Q477" s="128">
        <f t="shared" si="215"/>
        <v>0</v>
      </c>
      <c r="R477" s="128">
        <f t="shared" si="215"/>
        <v>0</v>
      </c>
      <c r="S477" s="128">
        <f t="shared" si="215"/>
        <v>4595412.62</v>
      </c>
      <c r="T477" s="128">
        <f t="shared" si="208"/>
        <v>10620.320360526925</v>
      </c>
      <c r="U477" s="128">
        <f>U478</f>
        <v>10820.14</v>
      </c>
      <c r="V477" s="129"/>
    </row>
    <row r="478" spans="1:22" ht="35.25" x14ac:dyDescent="0.5">
      <c r="A478">
        <v>1</v>
      </c>
      <c r="B478" s="131">
        <f>SUBTOTAL(9,$A$338:A478)</f>
        <v>120</v>
      </c>
      <c r="C478" s="10" t="s">
        <v>261</v>
      </c>
      <c r="D478" s="123"/>
      <c r="E478" s="123">
        <v>1979</v>
      </c>
      <c r="F478" s="123" t="s">
        <v>420</v>
      </c>
      <c r="G478" s="123">
        <v>2</v>
      </c>
      <c r="H478" s="123" t="s">
        <v>318</v>
      </c>
      <c r="I478" s="124">
        <v>432.7</v>
      </c>
      <c r="J478" s="124">
        <v>432.7</v>
      </c>
      <c r="K478" s="125">
        <v>21</v>
      </c>
      <c r="L478" s="123" t="s">
        <v>418</v>
      </c>
      <c r="M478" s="123" t="s">
        <v>425</v>
      </c>
      <c r="N478" s="126" t="s">
        <v>426</v>
      </c>
      <c r="O478" s="128">
        <v>4595412.62</v>
      </c>
      <c r="P478" s="128">
        <v>0</v>
      </c>
      <c r="Q478" s="128">
        <v>0</v>
      </c>
      <c r="R478" s="128">
        <v>0</v>
      </c>
      <c r="S478" s="128">
        <f t="shared" si="209"/>
        <v>4595412.62</v>
      </c>
      <c r="T478" s="128">
        <f t="shared" si="208"/>
        <v>10620.320360526925</v>
      </c>
      <c r="U478" s="128">
        <v>10820.14</v>
      </c>
      <c r="V478" s="129"/>
    </row>
    <row r="479" spans="1:22" ht="35.25" x14ac:dyDescent="0.5">
      <c r="B479" s="122" t="s">
        <v>267</v>
      </c>
      <c r="C479" s="122"/>
      <c r="D479" s="123" t="s">
        <v>423</v>
      </c>
      <c r="E479" s="123" t="s">
        <v>423</v>
      </c>
      <c r="F479" s="123" t="s">
        <v>423</v>
      </c>
      <c r="G479" s="123" t="s">
        <v>423</v>
      </c>
      <c r="H479" s="123" t="s">
        <v>423</v>
      </c>
      <c r="I479" s="124">
        <f>I480</f>
        <v>1107</v>
      </c>
      <c r="J479" s="124">
        <f t="shared" ref="J479:K479" si="216">J480</f>
        <v>733</v>
      </c>
      <c r="K479" s="125">
        <f t="shared" si="216"/>
        <v>60</v>
      </c>
      <c r="L479" s="123" t="s">
        <v>423</v>
      </c>
      <c r="M479" s="123" t="s">
        <v>423</v>
      </c>
      <c r="N479" s="126" t="s">
        <v>423</v>
      </c>
      <c r="O479" s="128">
        <v>7553233.4500000002</v>
      </c>
      <c r="P479" s="128">
        <f t="shared" ref="P479:S479" si="217">P480</f>
        <v>0</v>
      </c>
      <c r="Q479" s="128">
        <f t="shared" si="217"/>
        <v>0</v>
      </c>
      <c r="R479" s="128">
        <f t="shared" si="217"/>
        <v>0</v>
      </c>
      <c r="S479" s="128">
        <f t="shared" si="217"/>
        <v>7553233.4500000002</v>
      </c>
      <c r="T479" s="128">
        <f t="shared" si="208"/>
        <v>6823.1557813911477</v>
      </c>
      <c r="U479" s="128">
        <f>U480</f>
        <v>6951.53</v>
      </c>
      <c r="V479" s="129"/>
    </row>
    <row r="480" spans="1:22" ht="35.25" x14ac:dyDescent="0.5">
      <c r="A480">
        <v>1</v>
      </c>
      <c r="B480" s="131">
        <f>SUBTOTAL(9,$A$338:A480)</f>
        <v>121</v>
      </c>
      <c r="C480" s="10" t="s">
        <v>262</v>
      </c>
      <c r="D480" s="123"/>
      <c r="E480" s="123">
        <v>1977</v>
      </c>
      <c r="F480" s="123" t="s">
        <v>420</v>
      </c>
      <c r="G480" s="123">
        <v>3</v>
      </c>
      <c r="H480" s="123" t="s">
        <v>320</v>
      </c>
      <c r="I480" s="124">
        <v>1107</v>
      </c>
      <c r="J480" s="124">
        <v>733</v>
      </c>
      <c r="K480" s="125">
        <v>60</v>
      </c>
      <c r="L480" s="123" t="s">
        <v>418</v>
      </c>
      <c r="M480" s="123" t="s">
        <v>424</v>
      </c>
      <c r="N480" s="126" t="s">
        <v>464</v>
      </c>
      <c r="O480" s="128">
        <v>7553233.4500000002</v>
      </c>
      <c r="P480" s="128">
        <v>0</v>
      </c>
      <c r="Q480" s="128">
        <v>0</v>
      </c>
      <c r="R480" s="128">
        <v>0</v>
      </c>
      <c r="S480" s="128">
        <f t="shared" si="209"/>
        <v>7553233.4500000002</v>
      </c>
      <c r="T480" s="128">
        <f t="shared" si="208"/>
        <v>6823.1557813911477</v>
      </c>
      <c r="U480" s="128">
        <v>6951.53</v>
      </c>
      <c r="V480" s="129"/>
    </row>
    <row r="481" spans="1:96" ht="35.25" x14ac:dyDescent="0.5">
      <c r="B481" s="122" t="s">
        <v>268</v>
      </c>
      <c r="C481" s="122"/>
      <c r="D481" s="123" t="s">
        <v>423</v>
      </c>
      <c r="E481" s="123" t="s">
        <v>423</v>
      </c>
      <c r="F481" s="123" t="s">
        <v>423</v>
      </c>
      <c r="G481" s="123" t="s">
        <v>423</v>
      </c>
      <c r="H481" s="123" t="s">
        <v>423</v>
      </c>
      <c r="I481" s="124">
        <f>I482</f>
        <v>813.7</v>
      </c>
      <c r="J481" s="124">
        <f>J482</f>
        <v>665.5</v>
      </c>
      <c r="K481" s="125">
        <f>K482</f>
        <v>26</v>
      </c>
      <c r="L481" s="123" t="s">
        <v>423</v>
      </c>
      <c r="M481" s="123" t="s">
        <v>423</v>
      </c>
      <c r="N481" s="126" t="s">
        <v>423</v>
      </c>
      <c r="O481" s="128">
        <v>9774772.6999999993</v>
      </c>
      <c r="P481" s="128">
        <f t="shared" ref="P481:S481" si="218">P482</f>
        <v>0</v>
      </c>
      <c r="Q481" s="128">
        <f t="shared" si="218"/>
        <v>0</v>
      </c>
      <c r="R481" s="128">
        <f t="shared" si="218"/>
        <v>0</v>
      </c>
      <c r="S481" s="128">
        <f t="shared" si="218"/>
        <v>9774772.6999999993</v>
      </c>
      <c r="T481" s="128">
        <f t="shared" si="208"/>
        <v>12012.747572815533</v>
      </c>
      <c r="U481" s="128">
        <f>U482</f>
        <v>12238.76</v>
      </c>
      <c r="V481" s="129"/>
    </row>
    <row r="482" spans="1:96" ht="35.25" x14ac:dyDescent="0.5">
      <c r="A482">
        <v>1</v>
      </c>
      <c r="B482" s="131">
        <f>SUBTOTAL(9,$A$338:A482)</f>
        <v>122</v>
      </c>
      <c r="C482" s="10" t="s">
        <v>263</v>
      </c>
      <c r="D482" s="123"/>
      <c r="E482" s="123">
        <v>1950</v>
      </c>
      <c r="F482" s="123" t="s">
        <v>420</v>
      </c>
      <c r="G482" s="123">
        <v>2</v>
      </c>
      <c r="H482" s="123" t="s">
        <v>320</v>
      </c>
      <c r="I482" s="124">
        <v>813.7</v>
      </c>
      <c r="J482" s="124">
        <v>665.5</v>
      </c>
      <c r="K482" s="125">
        <v>26</v>
      </c>
      <c r="L482" s="123" t="s">
        <v>418</v>
      </c>
      <c r="M482" s="123" t="s">
        <v>425</v>
      </c>
      <c r="N482" s="126" t="s">
        <v>426</v>
      </c>
      <c r="O482" s="128">
        <v>9774772.6999999993</v>
      </c>
      <c r="P482" s="128">
        <v>0</v>
      </c>
      <c r="Q482" s="128">
        <v>0</v>
      </c>
      <c r="R482" s="128">
        <v>0</v>
      </c>
      <c r="S482" s="128">
        <f t="shared" si="209"/>
        <v>9774772.6999999993</v>
      </c>
      <c r="T482" s="128">
        <f t="shared" si="208"/>
        <v>12012.747572815533</v>
      </c>
      <c r="U482" s="128">
        <v>12238.76</v>
      </c>
      <c r="V482" s="129"/>
    </row>
    <row r="483" spans="1:96" ht="35.25" x14ac:dyDescent="0.5">
      <c r="B483" s="122" t="s">
        <v>696</v>
      </c>
      <c r="C483" s="122"/>
      <c r="D483" s="123" t="s">
        <v>423</v>
      </c>
      <c r="E483" s="123" t="s">
        <v>423</v>
      </c>
      <c r="F483" s="123" t="s">
        <v>423</v>
      </c>
      <c r="G483" s="123" t="s">
        <v>423</v>
      </c>
      <c r="H483" s="123" t="s">
        <v>423</v>
      </c>
      <c r="I483" s="124">
        <f>I484</f>
        <v>5533.1</v>
      </c>
      <c r="J483" s="124">
        <f t="shared" ref="J483:K483" si="219">J484</f>
        <v>4417.8</v>
      </c>
      <c r="K483" s="125">
        <f t="shared" si="219"/>
        <v>164</v>
      </c>
      <c r="L483" s="123" t="s">
        <v>423</v>
      </c>
      <c r="M483" s="123" t="s">
        <v>423</v>
      </c>
      <c r="N483" s="126" t="s">
        <v>423</v>
      </c>
      <c r="O483" s="128">
        <v>20622231.5</v>
      </c>
      <c r="P483" s="128">
        <f t="shared" ref="P483:S483" si="220">P484</f>
        <v>0</v>
      </c>
      <c r="Q483" s="128">
        <f t="shared" si="220"/>
        <v>0</v>
      </c>
      <c r="R483" s="128">
        <f t="shared" si="220"/>
        <v>0</v>
      </c>
      <c r="S483" s="128">
        <f t="shared" si="220"/>
        <v>20622231.5</v>
      </c>
      <c r="T483" s="128">
        <f t="shared" si="208"/>
        <v>3727.0664726825826</v>
      </c>
      <c r="U483" s="128">
        <f>U484</f>
        <v>3797.19</v>
      </c>
      <c r="V483" s="129"/>
    </row>
    <row r="484" spans="1:96" ht="35.25" x14ac:dyDescent="0.5">
      <c r="A484">
        <v>1</v>
      </c>
      <c r="B484" s="131">
        <f>SUBTOTAL(9,$A$338:A484)</f>
        <v>123</v>
      </c>
      <c r="C484" s="10" t="s">
        <v>272</v>
      </c>
      <c r="D484" s="123"/>
      <c r="E484" s="123">
        <v>1973</v>
      </c>
      <c r="F484" s="123" t="s">
        <v>420</v>
      </c>
      <c r="G484" s="123">
        <v>5</v>
      </c>
      <c r="H484" s="123" t="s">
        <v>324</v>
      </c>
      <c r="I484" s="124">
        <v>5533.1</v>
      </c>
      <c r="J484" s="124">
        <v>4417.8</v>
      </c>
      <c r="K484" s="125">
        <v>164</v>
      </c>
      <c r="L484" s="123" t="s">
        <v>418</v>
      </c>
      <c r="M484" s="123" t="s">
        <v>424</v>
      </c>
      <c r="N484" s="126" t="s">
        <v>465</v>
      </c>
      <c r="O484" s="128">
        <v>20622231.5</v>
      </c>
      <c r="P484" s="128">
        <v>0</v>
      </c>
      <c r="Q484" s="128">
        <v>0</v>
      </c>
      <c r="R484" s="128">
        <v>0</v>
      </c>
      <c r="S484" s="128">
        <f t="shared" si="209"/>
        <v>20622231.5</v>
      </c>
      <c r="T484" s="128">
        <f t="shared" si="208"/>
        <v>3727.0664726825826</v>
      </c>
      <c r="U484" s="128">
        <v>3797.19</v>
      </c>
      <c r="V484" s="129"/>
    </row>
    <row r="485" spans="1:96" ht="35.25" x14ac:dyDescent="0.4">
      <c r="B485" s="166" t="s">
        <v>743</v>
      </c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8"/>
      <c r="V485" s="129"/>
    </row>
    <row r="486" spans="1:96" ht="35.25" x14ac:dyDescent="0.5">
      <c r="B486" s="122" t="s">
        <v>735</v>
      </c>
      <c r="C486" s="122"/>
      <c r="D486" s="123" t="s">
        <v>423</v>
      </c>
      <c r="E486" s="123" t="s">
        <v>423</v>
      </c>
      <c r="F486" s="123" t="s">
        <v>423</v>
      </c>
      <c r="G486" s="123" t="s">
        <v>423</v>
      </c>
      <c r="H486" s="123" t="s">
        <v>423</v>
      </c>
      <c r="I486" s="124">
        <f>I487</f>
        <v>3647</v>
      </c>
      <c r="J486" s="124">
        <f t="shared" ref="J486:K486" si="221">J487</f>
        <v>2741.02</v>
      </c>
      <c r="K486" s="125">
        <f t="shared" si="221"/>
        <v>279</v>
      </c>
      <c r="L486" s="123" t="s">
        <v>423</v>
      </c>
      <c r="M486" s="123" t="s">
        <v>423</v>
      </c>
      <c r="N486" s="126" t="s">
        <v>423</v>
      </c>
      <c r="O486" s="128">
        <f>O487</f>
        <v>16948149.629999999</v>
      </c>
      <c r="P486" s="128">
        <f t="shared" ref="P486:S487" si="222">P487</f>
        <v>0</v>
      </c>
      <c r="Q486" s="128">
        <f t="shared" si="222"/>
        <v>0</v>
      </c>
      <c r="R486" s="128">
        <f t="shared" si="222"/>
        <v>0</v>
      </c>
      <c r="S486" s="128">
        <f t="shared" si="222"/>
        <v>16948149.629999999</v>
      </c>
      <c r="T486" s="128">
        <f t="shared" si="208"/>
        <v>4647.1482396490264</v>
      </c>
      <c r="U486" s="128">
        <f>U487</f>
        <v>4673.96</v>
      </c>
      <c r="V486" s="129"/>
    </row>
    <row r="487" spans="1:96" ht="35.25" x14ac:dyDescent="0.5">
      <c r="B487" s="122" t="s">
        <v>678</v>
      </c>
      <c r="C487" s="122"/>
      <c r="D487" s="123" t="s">
        <v>423</v>
      </c>
      <c r="E487" s="123" t="s">
        <v>423</v>
      </c>
      <c r="F487" s="123" t="s">
        <v>423</v>
      </c>
      <c r="G487" s="123" t="s">
        <v>423</v>
      </c>
      <c r="H487" s="123" t="s">
        <v>423</v>
      </c>
      <c r="I487" s="124">
        <f>I488</f>
        <v>3647</v>
      </c>
      <c r="J487" s="124">
        <f>J488</f>
        <v>2741.02</v>
      </c>
      <c r="K487" s="125">
        <f>K488</f>
        <v>279</v>
      </c>
      <c r="L487" s="123" t="s">
        <v>423</v>
      </c>
      <c r="M487" s="123" t="s">
        <v>423</v>
      </c>
      <c r="N487" s="126" t="s">
        <v>423</v>
      </c>
      <c r="O487" s="128">
        <f>O488</f>
        <v>16948149.629999999</v>
      </c>
      <c r="P487" s="128">
        <f t="shared" si="222"/>
        <v>0</v>
      </c>
      <c r="Q487" s="128">
        <f t="shared" si="222"/>
        <v>0</v>
      </c>
      <c r="R487" s="128">
        <f t="shared" si="222"/>
        <v>0</v>
      </c>
      <c r="S487" s="128">
        <f t="shared" si="222"/>
        <v>16948149.629999999</v>
      </c>
      <c r="T487" s="128">
        <f t="shared" si="208"/>
        <v>4647.1482396490264</v>
      </c>
      <c r="U487" s="128">
        <f>U488</f>
        <v>4673.96</v>
      </c>
      <c r="V487" s="129"/>
    </row>
    <row r="488" spans="1:96" ht="35.25" x14ac:dyDescent="0.5">
      <c r="B488" s="131">
        <v>1</v>
      </c>
      <c r="C488" s="10" t="s">
        <v>744</v>
      </c>
      <c r="D488" s="123"/>
      <c r="E488" s="123">
        <v>1971</v>
      </c>
      <c r="F488" s="123" t="s">
        <v>420</v>
      </c>
      <c r="G488" s="123">
        <v>5</v>
      </c>
      <c r="H488" s="123">
        <v>2</v>
      </c>
      <c r="I488" s="124">
        <v>3647</v>
      </c>
      <c r="J488" s="124">
        <v>2741.02</v>
      </c>
      <c r="K488" s="125">
        <v>279</v>
      </c>
      <c r="L488" s="123" t="s">
        <v>418</v>
      </c>
      <c r="M488" s="123" t="s">
        <v>424</v>
      </c>
      <c r="N488" s="126" t="s">
        <v>499</v>
      </c>
      <c r="O488" s="128">
        <v>16948149.629999999</v>
      </c>
      <c r="P488" s="128">
        <v>0</v>
      </c>
      <c r="Q488" s="128">
        <v>0</v>
      </c>
      <c r="R488" s="128">
        <v>0</v>
      </c>
      <c r="S488" s="128">
        <f>O488-P488-Q488-R488</f>
        <v>16948149.629999999</v>
      </c>
      <c r="T488" s="128">
        <f t="shared" si="208"/>
        <v>4647.1482396490264</v>
      </c>
      <c r="U488" s="128">
        <v>4673.96</v>
      </c>
      <c r="V488" s="129"/>
    </row>
    <row r="489" spans="1:96" ht="82.5" customHeight="1" x14ac:dyDescent="0.25">
      <c r="B489" s="166" t="s">
        <v>734</v>
      </c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8"/>
    </row>
    <row r="490" spans="1:96" ht="35.25" x14ac:dyDescent="0.5">
      <c r="B490" s="122" t="s">
        <v>735</v>
      </c>
      <c r="C490" s="122"/>
      <c r="D490" s="123" t="s">
        <v>423</v>
      </c>
      <c r="E490" s="123" t="s">
        <v>423</v>
      </c>
      <c r="F490" s="123" t="s">
        <v>423</v>
      </c>
      <c r="G490" s="123" t="s">
        <v>423</v>
      </c>
      <c r="H490" s="123" t="s">
        <v>423</v>
      </c>
      <c r="I490" s="124">
        <f>I491+I496+I500+I503</f>
        <v>14845.269999999999</v>
      </c>
      <c r="J490" s="124">
        <f t="shared" ref="J490:K490" si="223">J491+J496+J500+J503</f>
        <v>11882.83</v>
      </c>
      <c r="K490" s="125">
        <f t="shared" si="223"/>
        <v>564</v>
      </c>
      <c r="L490" s="123" t="s">
        <v>423</v>
      </c>
      <c r="M490" s="123" t="s">
        <v>423</v>
      </c>
      <c r="N490" s="126" t="s">
        <v>423</v>
      </c>
      <c r="O490" s="127">
        <f>O491+O496+O500+O503</f>
        <v>90752109.560000002</v>
      </c>
      <c r="P490" s="127">
        <f t="shared" ref="P490:S490" si="224">P491+P496+P500+P503</f>
        <v>0</v>
      </c>
      <c r="Q490" s="127">
        <f t="shared" si="224"/>
        <v>73168831.129999995</v>
      </c>
      <c r="R490" s="127">
        <f t="shared" si="224"/>
        <v>3850991.1200000006</v>
      </c>
      <c r="S490" s="127">
        <f t="shared" si="224"/>
        <v>13732287.310000002</v>
      </c>
      <c r="T490" s="128">
        <f t="shared" si="208"/>
        <v>6113.2003365381706</v>
      </c>
      <c r="U490" s="128">
        <f>MAX(U491:U504)</f>
        <v>11388.91</v>
      </c>
      <c r="V490" s="129"/>
      <c r="CR490" s="149"/>
    </row>
    <row r="491" spans="1:96" ht="35.25" x14ac:dyDescent="0.5">
      <c r="B491" s="122" t="s">
        <v>414</v>
      </c>
      <c r="C491" s="122"/>
      <c r="D491" s="123" t="s">
        <v>423</v>
      </c>
      <c r="E491" s="123" t="s">
        <v>423</v>
      </c>
      <c r="F491" s="123" t="s">
        <v>423</v>
      </c>
      <c r="G491" s="123" t="s">
        <v>423</v>
      </c>
      <c r="H491" s="123" t="s">
        <v>423</v>
      </c>
      <c r="I491" s="124">
        <f>SUM(I492:I495)</f>
        <v>8240</v>
      </c>
      <c r="J491" s="124">
        <f t="shared" ref="J491:K491" si="225">SUM(J492:J495)</f>
        <v>6898.0599999999995</v>
      </c>
      <c r="K491" s="125">
        <f t="shared" si="225"/>
        <v>329</v>
      </c>
      <c r="L491" s="123" t="s">
        <v>423</v>
      </c>
      <c r="M491" s="123" t="s">
        <v>423</v>
      </c>
      <c r="N491" s="126" t="s">
        <v>423</v>
      </c>
      <c r="O491" s="128">
        <f>SUM(O492:O495)</f>
        <v>40658965.229999997</v>
      </c>
      <c r="P491" s="128">
        <f t="shared" ref="P491:S491" si="226">SUM(P492:P495)</f>
        <v>0</v>
      </c>
      <c r="Q491" s="128">
        <f t="shared" si="226"/>
        <v>30737722.68</v>
      </c>
      <c r="R491" s="128">
        <f t="shared" si="226"/>
        <v>1617774.8800000001</v>
      </c>
      <c r="S491" s="128">
        <f t="shared" si="226"/>
        <v>8303467.669999999</v>
      </c>
      <c r="T491" s="128">
        <f t="shared" si="208"/>
        <v>4934.3404405339797</v>
      </c>
      <c r="U491" s="128">
        <f>MAX(U492:U495)</f>
        <v>11388.91</v>
      </c>
      <c r="V491" s="129"/>
      <c r="CR491" s="149"/>
    </row>
    <row r="492" spans="1:96" ht="35.25" x14ac:dyDescent="0.5">
      <c r="B492" s="131">
        <v>1</v>
      </c>
      <c r="C492" s="10" t="s">
        <v>724</v>
      </c>
      <c r="D492" s="123"/>
      <c r="E492" s="123">
        <v>1935</v>
      </c>
      <c r="F492" s="123" t="s">
        <v>420</v>
      </c>
      <c r="G492" s="123">
        <v>4</v>
      </c>
      <c r="H492" s="123">
        <v>8</v>
      </c>
      <c r="I492" s="124">
        <v>3834.2</v>
      </c>
      <c r="J492" s="124">
        <v>3479.46</v>
      </c>
      <c r="K492" s="125">
        <v>168</v>
      </c>
      <c r="L492" s="123" t="s">
        <v>418</v>
      </c>
      <c r="M492" s="123" t="s">
        <v>424</v>
      </c>
      <c r="N492" s="126" t="s">
        <v>736</v>
      </c>
      <c r="O492" s="128">
        <v>16256177.220000001</v>
      </c>
      <c r="P492" s="128">
        <v>0</v>
      </c>
      <c r="Q492" s="128">
        <v>11830450.18</v>
      </c>
      <c r="R492" s="128">
        <v>622655.27</v>
      </c>
      <c r="S492" s="128">
        <f>O492-P492-Q492-R492</f>
        <v>3803071.7700000009</v>
      </c>
      <c r="T492" s="128">
        <f t="shared" si="208"/>
        <v>4239.783323770278</v>
      </c>
      <c r="U492" s="128">
        <v>4850.9399999999996</v>
      </c>
      <c r="V492" s="129"/>
      <c r="CR492" s="149"/>
    </row>
    <row r="493" spans="1:96" ht="35.25" x14ac:dyDescent="0.5">
      <c r="B493" s="131">
        <v>2</v>
      </c>
      <c r="C493" s="10" t="s">
        <v>725</v>
      </c>
      <c r="D493" s="123"/>
      <c r="E493" s="123">
        <v>1957</v>
      </c>
      <c r="F493" s="123" t="s">
        <v>420</v>
      </c>
      <c r="G493" s="123">
        <v>4</v>
      </c>
      <c r="H493" s="123">
        <v>3</v>
      </c>
      <c r="I493" s="124">
        <v>3035.2</v>
      </c>
      <c r="J493" s="124">
        <v>2144.5</v>
      </c>
      <c r="K493" s="125">
        <v>81</v>
      </c>
      <c r="L493" s="123" t="s">
        <v>418</v>
      </c>
      <c r="M493" s="123" t="s">
        <v>424</v>
      </c>
      <c r="N493" s="126" t="s">
        <v>550</v>
      </c>
      <c r="O493" s="128">
        <v>11171729.619999999</v>
      </c>
      <c r="P493" s="128">
        <v>0</v>
      </c>
      <c r="Q493" s="128">
        <v>7790600.7300000004</v>
      </c>
      <c r="R493" s="128">
        <v>410031.62</v>
      </c>
      <c r="S493" s="128">
        <f t="shared" ref="S493:S495" si="227">O493-P493-Q493-R493</f>
        <v>2971097.2699999986</v>
      </c>
      <c r="T493" s="128">
        <f t="shared" si="208"/>
        <v>3680.7227266736954</v>
      </c>
      <c r="U493" s="128">
        <v>5006.37</v>
      </c>
      <c r="V493" s="129"/>
      <c r="CR493" s="149"/>
    </row>
    <row r="494" spans="1:96" ht="35.25" x14ac:dyDescent="0.5">
      <c r="B494" s="131">
        <v>3</v>
      </c>
      <c r="C494" s="10" t="s">
        <v>726</v>
      </c>
      <c r="D494" s="123"/>
      <c r="E494" s="123">
        <v>1964</v>
      </c>
      <c r="F494" s="123" t="s">
        <v>420</v>
      </c>
      <c r="G494" s="123">
        <v>2</v>
      </c>
      <c r="H494" s="123">
        <v>2</v>
      </c>
      <c r="I494" s="124">
        <v>677.7</v>
      </c>
      <c r="J494" s="124">
        <v>581.20000000000005</v>
      </c>
      <c r="K494" s="125">
        <v>38</v>
      </c>
      <c r="L494" s="123" t="s">
        <v>418</v>
      </c>
      <c r="M494" s="123" t="s">
        <v>425</v>
      </c>
      <c r="N494" s="126" t="s">
        <v>426</v>
      </c>
      <c r="O494" s="128">
        <v>7074895.2399999993</v>
      </c>
      <c r="P494" s="128">
        <v>0</v>
      </c>
      <c r="Q494" s="128">
        <v>6043950.5199999996</v>
      </c>
      <c r="R494" s="128">
        <v>318102.65999999997</v>
      </c>
      <c r="S494" s="128">
        <f t="shared" si="227"/>
        <v>712842.05999999982</v>
      </c>
      <c r="T494" s="128">
        <f t="shared" si="208"/>
        <v>10439.568009443705</v>
      </c>
      <c r="U494" s="128">
        <v>11388.91</v>
      </c>
      <c r="V494" s="129"/>
      <c r="CR494" s="149"/>
    </row>
    <row r="495" spans="1:96" ht="35.25" x14ac:dyDescent="0.5">
      <c r="B495" s="131">
        <v>4</v>
      </c>
      <c r="C495" s="10" t="s">
        <v>727</v>
      </c>
      <c r="D495" s="123"/>
      <c r="E495" s="123">
        <v>1964</v>
      </c>
      <c r="F495" s="123" t="s">
        <v>420</v>
      </c>
      <c r="G495" s="123">
        <v>2</v>
      </c>
      <c r="H495" s="123">
        <v>2</v>
      </c>
      <c r="I495" s="124">
        <v>692.9</v>
      </c>
      <c r="J495" s="124">
        <v>692.9</v>
      </c>
      <c r="K495" s="125">
        <v>42</v>
      </c>
      <c r="L495" s="123" t="s">
        <v>418</v>
      </c>
      <c r="M495" s="123" t="s">
        <v>425</v>
      </c>
      <c r="N495" s="126" t="s">
        <v>426</v>
      </c>
      <c r="O495" s="128">
        <v>6156163.1500000004</v>
      </c>
      <c r="P495" s="128">
        <v>0</v>
      </c>
      <c r="Q495" s="128">
        <v>5072721.25</v>
      </c>
      <c r="R495" s="128">
        <v>266985.33</v>
      </c>
      <c r="S495" s="128">
        <f t="shared" si="227"/>
        <v>816456.5700000003</v>
      </c>
      <c r="T495" s="128">
        <f t="shared" si="208"/>
        <v>8884.6343628229188</v>
      </c>
      <c r="U495" s="128">
        <v>10662.73</v>
      </c>
      <c r="V495" s="129"/>
      <c r="CR495" s="149"/>
    </row>
    <row r="496" spans="1:96" ht="35.25" x14ac:dyDescent="0.5">
      <c r="B496" s="122" t="s">
        <v>222</v>
      </c>
      <c r="C496" s="122"/>
      <c r="D496" s="123" t="s">
        <v>423</v>
      </c>
      <c r="E496" s="123" t="s">
        <v>423</v>
      </c>
      <c r="F496" s="123" t="s">
        <v>423</v>
      </c>
      <c r="G496" s="123" t="s">
        <v>423</v>
      </c>
      <c r="H496" s="123" t="s">
        <v>423</v>
      </c>
      <c r="I496" s="124">
        <f>I497+I498+I499</f>
        <v>3405.97</v>
      </c>
      <c r="J496" s="124">
        <f t="shared" ref="J496:K496" si="228">J497+J498+J499</f>
        <v>2096.37</v>
      </c>
      <c r="K496" s="125">
        <f t="shared" si="228"/>
        <v>108</v>
      </c>
      <c r="L496" s="123" t="s">
        <v>423</v>
      </c>
      <c r="M496" s="123" t="s">
        <v>423</v>
      </c>
      <c r="N496" s="126" t="s">
        <v>423</v>
      </c>
      <c r="O496" s="128">
        <f>O497+O498+O499</f>
        <v>23296736.300000001</v>
      </c>
      <c r="P496" s="128">
        <f t="shared" ref="P496:S496" si="229">P497+P498+P499</f>
        <v>0</v>
      </c>
      <c r="Q496" s="128">
        <f t="shared" si="229"/>
        <v>19789489.670000002</v>
      </c>
      <c r="R496" s="128">
        <f t="shared" si="229"/>
        <v>1041552.0900000001</v>
      </c>
      <c r="S496" s="128">
        <f t="shared" si="229"/>
        <v>2465694.54</v>
      </c>
      <c r="T496" s="128">
        <f t="shared" si="208"/>
        <v>6839.9710801915462</v>
      </c>
      <c r="U496" s="128">
        <f>MAX(U497:U499)</f>
        <v>9759.6</v>
      </c>
      <c r="V496" s="129"/>
      <c r="CR496" s="149"/>
    </row>
    <row r="497" spans="2:96" ht="35.25" x14ac:dyDescent="0.5">
      <c r="B497" s="131">
        <v>5</v>
      </c>
      <c r="C497" s="10" t="s">
        <v>728</v>
      </c>
      <c r="D497" s="123"/>
      <c r="E497" s="123">
        <v>1990</v>
      </c>
      <c r="F497" s="123" t="s">
        <v>420</v>
      </c>
      <c r="G497" s="123">
        <v>2</v>
      </c>
      <c r="H497" s="123">
        <v>2</v>
      </c>
      <c r="I497" s="124">
        <v>1360.5</v>
      </c>
      <c r="J497" s="124">
        <v>810.07</v>
      </c>
      <c r="K497" s="125">
        <v>48</v>
      </c>
      <c r="L497" s="123" t="s">
        <v>418</v>
      </c>
      <c r="M497" s="123" t="s">
        <v>427</v>
      </c>
      <c r="N497" s="126" t="s">
        <v>737</v>
      </c>
      <c r="O497" s="128">
        <v>9896723.6400000006</v>
      </c>
      <c r="P497" s="128">
        <v>0</v>
      </c>
      <c r="Q497" s="128">
        <v>8454809.7699999996</v>
      </c>
      <c r="R497" s="128">
        <v>444989.99</v>
      </c>
      <c r="S497" s="128">
        <f>O497-P497-Q497-R497</f>
        <v>996923.88000000105</v>
      </c>
      <c r="T497" s="128">
        <f t="shared" si="208"/>
        <v>7274.3282910694606</v>
      </c>
      <c r="U497" s="128">
        <v>7399.3</v>
      </c>
      <c r="V497" s="129"/>
      <c r="CR497" s="149"/>
    </row>
    <row r="498" spans="2:96" ht="35.25" x14ac:dyDescent="0.5">
      <c r="B498" s="131">
        <v>6</v>
      </c>
      <c r="C498" s="10" t="s">
        <v>729</v>
      </c>
      <c r="D498" s="123"/>
      <c r="E498" s="123">
        <v>1964</v>
      </c>
      <c r="F498" s="123" t="s">
        <v>420</v>
      </c>
      <c r="G498" s="123">
        <v>2</v>
      </c>
      <c r="H498" s="123">
        <v>2</v>
      </c>
      <c r="I498" s="124">
        <v>784.1</v>
      </c>
      <c r="J498" s="124">
        <v>729.8</v>
      </c>
      <c r="K498" s="125">
        <v>34</v>
      </c>
      <c r="L498" s="123" t="s">
        <v>418</v>
      </c>
      <c r="M498" s="123" t="s">
        <v>427</v>
      </c>
      <c r="N498" s="126" t="s">
        <v>738</v>
      </c>
      <c r="O498" s="128">
        <v>7484470.2299999995</v>
      </c>
      <c r="P498" s="128">
        <v>0</v>
      </c>
      <c r="Q498" s="128">
        <v>6276807.7800000003</v>
      </c>
      <c r="R498" s="128">
        <v>330358.3</v>
      </c>
      <c r="S498" s="128">
        <f t="shared" ref="S498:S499" si="230">O498-P498-Q498-R498</f>
        <v>877304.14999999921</v>
      </c>
      <c r="T498" s="128">
        <f t="shared" si="208"/>
        <v>9545.3006376737649</v>
      </c>
      <c r="U498" s="128">
        <v>9759.6</v>
      </c>
      <c r="V498" s="129"/>
      <c r="CR498" s="149"/>
    </row>
    <row r="499" spans="2:96" ht="35.25" x14ac:dyDescent="0.5">
      <c r="B499" s="131">
        <v>7</v>
      </c>
      <c r="C499" s="10" t="s">
        <v>730</v>
      </c>
      <c r="D499" s="123"/>
      <c r="E499" s="123">
        <v>1982</v>
      </c>
      <c r="F499" s="123" t="s">
        <v>421</v>
      </c>
      <c r="G499" s="123">
        <v>2</v>
      </c>
      <c r="H499" s="123">
        <v>2</v>
      </c>
      <c r="I499" s="124">
        <v>1261.3699999999999</v>
      </c>
      <c r="J499" s="124">
        <v>556.5</v>
      </c>
      <c r="K499" s="125">
        <v>26</v>
      </c>
      <c r="L499" s="123" t="s">
        <v>418</v>
      </c>
      <c r="M499" s="123" t="s">
        <v>425</v>
      </c>
      <c r="N499" s="126" t="s">
        <v>426</v>
      </c>
      <c r="O499" s="128">
        <v>5915542.4299999997</v>
      </c>
      <c r="P499" s="128">
        <v>0</v>
      </c>
      <c r="Q499" s="128">
        <v>5057872.12</v>
      </c>
      <c r="R499" s="128">
        <v>266203.8</v>
      </c>
      <c r="S499" s="128">
        <f t="shared" si="230"/>
        <v>591466.50999999954</v>
      </c>
      <c r="T499" s="128">
        <f t="shared" si="208"/>
        <v>4689.775743834085</v>
      </c>
      <c r="U499" s="128">
        <v>4803.58</v>
      </c>
      <c r="V499" s="129"/>
      <c r="CR499" s="149"/>
    </row>
    <row r="500" spans="2:96" ht="35.25" x14ac:dyDescent="0.5">
      <c r="B500" s="122" t="s">
        <v>690</v>
      </c>
      <c r="C500" s="122"/>
      <c r="D500" s="123" t="s">
        <v>423</v>
      </c>
      <c r="E500" s="123" t="s">
        <v>423</v>
      </c>
      <c r="F500" s="123" t="s">
        <v>423</v>
      </c>
      <c r="G500" s="123" t="s">
        <v>423</v>
      </c>
      <c r="H500" s="123" t="s">
        <v>423</v>
      </c>
      <c r="I500" s="124">
        <f>I501+I502</f>
        <v>2275.6999999999998</v>
      </c>
      <c r="J500" s="124">
        <f t="shared" ref="J500:K500" si="231">J501+J502</f>
        <v>2048.1</v>
      </c>
      <c r="K500" s="125">
        <f t="shared" si="231"/>
        <v>80</v>
      </c>
      <c r="L500" s="123" t="s">
        <v>423</v>
      </c>
      <c r="M500" s="123" t="s">
        <v>423</v>
      </c>
      <c r="N500" s="126" t="s">
        <v>423</v>
      </c>
      <c r="O500" s="128">
        <f>O501+O502</f>
        <v>22426588.810000002</v>
      </c>
      <c r="P500" s="128">
        <f t="shared" ref="P500:S500" si="232">P501+P502</f>
        <v>0</v>
      </c>
      <c r="Q500" s="128">
        <f t="shared" si="232"/>
        <v>19226913.899999999</v>
      </c>
      <c r="R500" s="128">
        <f t="shared" si="232"/>
        <v>1011942.8400000001</v>
      </c>
      <c r="S500" s="128">
        <f t="shared" si="232"/>
        <v>2187732.0700000031</v>
      </c>
      <c r="T500" s="128">
        <f t="shared" si="208"/>
        <v>9854.8089862459929</v>
      </c>
      <c r="U500" s="128">
        <f>MAX(U501:U502)</f>
        <v>10602.31</v>
      </c>
      <c r="V500" s="129"/>
      <c r="CR500" s="149"/>
    </row>
    <row r="501" spans="2:96" ht="35.25" x14ac:dyDescent="0.5">
      <c r="B501" s="131">
        <v>8</v>
      </c>
      <c r="C501" s="10" t="s">
        <v>731</v>
      </c>
      <c r="D501" s="123"/>
      <c r="E501" s="123">
        <v>1981</v>
      </c>
      <c r="F501" s="123" t="s">
        <v>421</v>
      </c>
      <c r="G501" s="123">
        <v>2</v>
      </c>
      <c r="H501" s="123">
        <v>4</v>
      </c>
      <c r="I501" s="124">
        <v>1305.5</v>
      </c>
      <c r="J501" s="124">
        <v>1165.8</v>
      </c>
      <c r="K501" s="125">
        <v>54</v>
      </c>
      <c r="L501" s="123" t="s">
        <v>418</v>
      </c>
      <c r="M501" s="123" t="s">
        <v>425</v>
      </c>
      <c r="N501" s="126" t="s">
        <v>426</v>
      </c>
      <c r="O501" s="128">
        <v>12819988.710000001</v>
      </c>
      <c r="P501" s="128">
        <v>0</v>
      </c>
      <c r="Q501" s="128">
        <v>10962060.279999999</v>
      </c>
      <c r="R501" s="128">
        <v>576950.54</v>
      </c>
      <c r="S501" s="128">
        <f>O501-P501-Q501-R501</f>
        <v>1280977.8900000015</v>
      </c>
      <c r="T501" s="128">
        <f t="shared" si="208"/>
        <v>9819.9836920720045</v>
      </c>
      <c r="U501" s="128">
        <v>10377.31</v>
      </c>
      <c r="V501" s="129"/>
      <c r="CR501" s="149"/>
    </row>
    <row r="502" spans="2:96" ht="35.25" x14ac:dyDescent="0.5">
      <c r="B502" s="131">
        <v>9</v>
      </c>
      <c r="C502" s="10" t="s">
        <v>732</v>
      </c>
      <c r="D502" s="123"/>
      <c r="E502" s="123">
        <v>1978</v>
      </c>
      <c r="F502" s="123" t="s">
        <v>420</v>
      </c>
      <c r="G502" s="123">
        <v>2</v>
      </c>
      <c r="H502" s="123">
        <v>3</v>
      </c>
      <c r="I502" s="124">
        <v>970.2</v>
      </c>
      <c r="J502" s="124">
        <v>882.3</v>
      </c>
      <c r="K502" s="125">
        <v>26</v>
      </c>
      <c r="L502" s="123" t="s">
        <v>418</v>
      </c>
      <c r="M502" s="123" t="s">
        <v>425</v>
      </c>
      <c r="N502" s="126" t="s">
        <v>426</v>
      </c>
      <c r="O502" s="128">
        <v>9606600.1000000015</v>
      </c>
      <c r="P502" s="128">
        <v>0</v>
      </c>
      <c r="Q502" s="128">
        <v>8264853.6200000001</v>
      </c>
      <c r="R502" s="128">
        <v>434992.3</v>
      </c>
      <c r="S502" s="128">
        <f>O502-P502-Q502-R502</f>
        <v>906754.18000000133</v>
      </c>
      <c r="T502" s="128">
        <f t="shared" si="208"/>
        <v>9901.6698618841492</v>
      </c>
      <c r="U502" s="128">
        <v>10602.31</v>
      </c>
      <c r="V502" s="129"/>
      <c r="CR502" s="149"/>
    </row>
    <row r="503" spans="2:96" ht="35.25" x14ac:dyDescent="0.5">
      <c r="B503" s="122" t="s">
        <v>691</v>
      </c>
      <c r="C503" s="122"/>
      <c r="D503" s="123" t="s">
        <v>423</v>
      </c>
      <c r="E503" s="123" t="s">
        <v>423</v>
      </c>
      <c r="F503" s="123" t="s">
        <v>423</v>
      </c>
      <c r="G503" s="123" t="s">
        <v>423</v>
      </c>
      <c r="H503" s="123" t="s">
        <v>423</v>
      </c>
      <c r="I503" s="124">
        <f>I504</f>
        <v>923.6</v>
      </c>
      <c r="J503" s="124">
        <f t="shared" ref="J503:K503" si="233">J504</f>
        <v>840.3</v>
      </c>
      <c r="K503" s="125">
        <f t="shared" si="233"/>
        <v>47</v>
      </c>
      <c r="L503" s="123" t="s">
        <v>423</v>
      </c>
      <c r="M503" s="123" t="s">
        <v>423</v>
      </c>
      <c r="N503" s="126" t="s">
        <v>423</v>
      </c>
      <c r="O503" s="128">
        <f>O504</f>
        <v>4369819.2200000007</v>
      </c>
      <c r="P503" s="128">
        <f t="shared" ref="P503:S503" si="234">P504</f>
        <v>0</v>
      </c>
      <c r="Q503" s="128">
        <f t="shared" si="234"/>
        <v>3414704.88</v>
      </c>
      <c r="R503" s="128">
        <f t="shared" si="234"/>
        <v>179721.31</v>
      </c>
      <c r="S503" s="128">
        <f t="shared" si="234"/>
        <v>775393.03000000073</v>
      </c>
      <c r="T503" s="128">
        <f t="shared" si="208"/>
        <v>4731.2897574707667</v>
      </c>
      <c r="U503" s="128">
        <f>U504</f>
        <v>9971.84</v>
      </c>
      <c r="V503" s="129"/>
      <c r="CR503" s="149"/>
    </row>
    <row r="504" spans="2:96" ht="35.25" x14ac:dyDescent="0.5">
      <c r="B504" s="131">
        <v>10</v>
      </c>
      <c r="C504" s="10" t="s">
        <v>733</v>
      </c>
      <c r="D504" s="123"/>
      <c r="E504" s="123">
        <v>1982</v>
      </c>
      <c r="F504" s="123" t="s">
        <v>420</v>
      </c>
      <c r="G504" s="123">
        <v>2</v>
      </c>
      <c r="H504" s="123">
        <v>3</v>
      </c>
      <c r="I504" s="124">
        <v>923.6</v>
      </c>
      <c r="J504" s="124">
        <v>840.3</v>
      </c>
      <c r="K504" s="125">
        <v>47</v>
      </c>
      <c r="L504" s="123" t="s">
        <v>418</v>
      </c>
      <c r="M504" s="123" t="s">
        <v>424</v>
      </c>
      <c r="N504" s="126" t="s">
        <v>675</v>
      </c>
      <c r="O504" s="128">
        <v>4369819.2200000007</v>
      </c>
      <c r="P504" s="128">
        <v>0</v>
      </c>
      <c r="Q504" s="128">
        <v>3414704.88</v>
      </c>
      <c r="R504" s="128">
        <v>179721.31</v>
      </c>
      <c r="S504" s="128">
        <f>O504-P504-Q504-R504</f>
        <v>775393.03000000073</v>
      </c>
      <c r="T504" s="128">
        <f t="shared" si="208"/>
        <v>4731.2897574707667</v>
      </c>
      <c r="U504" s="128">
        <v>9971.84</v>
      </c>
      <c r="V504" s="129"/>
      <c r="CR504" s="149"/>
    </row>
    <row r="505" spans="2:96" x14ac:dyDescent="0.55000000000000004">
      <c r="B505" s="116"/>
      <c r="C505" s="116"/>
      <c r="T505" s="151"/>
      <c r="CR505" s="1"/>
    </row>
    <row r="506" spans="2:96" x14ac:dyDescent="0.55000000000000004">
      <c r="B506" s="116"/>
      <c r="C506" s="116"/>
      <c r="T506" s="151"/>
    </row>
    <row r="507" spans="2:96" x14ac:dyDescent="0.55000000000000004">
      <c r="B507" s="116"/>
      <c r="C507" s="116"/>
      <c r="T507" s="151"/>
    </row>
    <row r="508" spans="2:96" x14ac:dyDescent="0.55000000000000004">
      <c r="B508" s="116"/>
      <c r="C508" s="116"/>
      <c r="T508" s="151"/>
    </row>
    <row r="509" spans="2:96" x14ac:dyDescent="0.55000000000000004">
      <c r="B509" s="116"/>
      <c r="C509" s="116"/>
      <c r="T509" s="151"/>
    </row>
    <row r="510" spans="2:96" x14ac:dyDescent="0.55000000000000004">
      <c r="B510" s="116"/>
      <c r="C510" s="116"/>
      <c r="T510" s="151"/>
    </row>
    <row r="511" spans="2:96" x14ac:dyDescent="0.55000000000000004">
      <c r="B511" s="116"/>
      <c r="C511" s="116"/>
      <c r="T511" s="151"/>
    </row>
    <row r="512" spans="2:96" x14ac:dyDescent="0.55000000000000004">
      <c r="B512" s="116"/>
      <c r="C512" s="116"/>
      <c r="T512" s="151"/>
    </row>
    <row r="513" spans="2:20" x14ac:dyDescent="0.55000000000000004">
      <c r="B513" s="116"/>
      <c r="C513" s="116"/>
      <c r="T513" s="151"/>
    </row>
    <row r="514" spans="2:20" x14ac:dyDescent="0.55000000000000004">
      <c r="B514" s="116"/>
      <c r="C514" s="116"/>
      <c r="T514" s="151"/>
    </row>
    <row r="515" spans="2:20" x14ac:dyDescent="0.55000000000000004">
      <c r="B515" s="116"/>
      <c r="C515" s="116"/>
      <c r="T515" s="151"/>
    </row>
    <row r="516" spans="2:20" x14ac:dyDescent="0.55000000000000004">
      <c r="B516" s="116"/>
      <c r="C516" s="116"/>
      <c r="T516" s="151"/>
    </row>
    <row r="517" spans="2:20" x14ac:dyDescent="0.55000000000000004">
      <c r="B517" s="116"/>
      <c r="C517" s="116"/>
      <c r="T517" s="151"/>
    </row>
    <row r="518" spans="2:20" x14ac:dyDescent="0.55000000000000004">
      <c r="B518" s="116"/>
      <c r="C518" s="116"/>
      <c r="T518" s="151"/>
    </row>
    <row r="519" spans="2:20" x14ac:dyDescent="0.55000000000000004">
      <c r="B519" s="116"/>
      <c r="C519" s="116"/>
      <c r="T519" s="151"/>
    </row>
    <row r="520" spans="2:20" x14ac:dyDescent="0.55000000000000004">
      <c r="B520" s="116"/>
      <c r="C520" s="116"/>
      <c r="T520" s="151"/>
    </row>
    <row r="521" spans="2:20" x14ac:dyDescent="0.55000000000000004">
      <c r="B521" s="116"/>
      <c r="C521" s="116"/>
      <c r="T521" s="151"/>
    </row>
    <row r="522" spans="2:20" x14ac:dyDescent="0.55000000000000004">
      <c r="B522" s="116"/>
      <c r="C522" s="116"/>
      <c r="T522" s="151"/>
    </row>
    <row r="523" spans="2:20" x14ac:dyDescent="0.55000000000000004">
      <c r="B523" s="116"/>
      <c r="C523" s="116"/>
      <c r="T523" s="151"/>
    </row>
    <row r="524" spans="2:20" x14ac:dyDescent="0.55000000000000004">
      <c r="B524" s="116"/>
      <c r="C524" s="116"/>
      <c r="T524" s="151"/>
    </row>
    <row r="525" spans="2:20" x14ac:dyDescent="0.55000000000000004">
      <c r="B525" s="116"/>
      <c r="C525" s="116"/>
      <c r="T525" s="151"/>
    </row>
    <row r="526" spans="2:20" x14ac:dyDescent="0.55000000000000004">
      <c r="B526" s="116"/>
      <c r="C526" s="116"/>
      <c r="T526" s="151"/>
    </row>
    <row r="527" spans="2:20" x14ac:dyDescent="0.55000000000000004">
      <c r="B527" s="116"/>
      <c r="C527" s="116"/>
      <c r="T527" s="151"/>
    </row>
    <row r="528" spans="2:20" x14ac:dyDescent="0.55000000000000004">
      <c r="B528" s="116"/>
      <c r="C528" s="116"/>
      <c r="T528" s="151"/>
    </row>
    <row r="529" spans="2:20" x14ac:dyDescent="0.55000000000000004">
      <c r="B529" s="116"/>
      <c r="C529" s="116"/>
      <c r="T529" s="151"/>
    </row>
    <row r="530" spans="2:20" x14ac:dyDescent="0.55000000000000004">
      <c r="B530" s="116"/>
      <c r="C530" s="116"/>
      <c r="T530" s="151"/>
    </row>
    <row r="531" spans="2:20" x14ac:dyDescent="0.55000000000000004">
      <c r="B531" s="116"/>
      <c r="C531" s="116"/>
      <c r="T531" s="151"/>
    </row>
    <row r="532" spans="2:20" x14ac:dyDescent="0.55000000000000004">
      <c r="B532" s="116"/>
      <c r="C532" s="116"/>
      <c r="T532" s="151"/>
    </row>
    <row r="533" spans="2:20" x14ac:dyDescent="0.55000000000000004">
      <c r="B533" s="116"/>
      <c r="C533" s="116"/>
      <c r="T533" s="151"/>
    </row>
    <row r="534" spans="2:20" x14ac:dyDescent="0.55000000000000004">
      <c r="B534" s="116"/>
      <c r="C534" s="116"/>
      <c r="T534" s="151"/>
    </row>
    <row r="535" spans="2:20" x14ac:dyDescent="0.55000000000000004">
      <c r="B535" s="116"/>
      <c r="C535" s="116"/>
      <c r="T535" s="151"/>
    </row>
    <row r="536" spans="2:20" x14ac:dyDescent="0.55000000000000004">
      <c r="B536" s="116"/>
      <c r="C536" s="116"/>
      <c r="T536" s="151"/>
    </row>
    <row r="537" spans="2:20" x14ac:dyDescent="0.55000000000000004">
      <c r="B537" s="116"/>
      <c r="C537" s="116"/>
      <c r="T537" s="151"/>
    </row>
    <row r="538" spans="2:20" x14ac:dyDescent="0.55000000000000004">
      <c r="B538" s="116"/>
      <c r="C538" s="116"/>
      <c r="T538" s="151"/>
    </row>
    <row r="539" spans="2:20" x14ac:dyDescent="0.55000000000000004">
      <c r="B539" s="116"/>
      <c r="C539" s="116"/>
      <c r="T539" s="151"/>
    </row>
    <row r="540" spans="2:20" x14ac:dyDescent="0.55000000000000004">
      <c r="B540" s="116"/>
      <c r="C540" s="116"/>
      <c r="T540" s="151"/>
    </row>
    <row r="541" spans="2:20" x14ac:dyDescent="0.55000000000000004">
      <c r="B541" s="116"/>
      <c r="C541" s="116"/>
      <c r="T541" s="151"/>
    </row>
    <row r="542" spans="2:20" x14ac:dyDescent="0.55000000000000004">
      <c r="B542" s="116"/>
      <c r="C542" s="116"/>
      <c r="T542" s="151"/>
    </row>
    <row r="543" spans="2:20" x14ac:dyDescent="0.55000000000000004">
      <c r="B543" s="116"/>
      <c r="C543" s="116"/>
      <c r="T543" s="151"/>
    </row>
    <row r="544" spans="2:20" x14ac:dyDescent="0.55000000000000004">
      <c r="B544" s="116"/>
      <c r="C544" s="116"/>
      <c r="T544" s="151"/>
    </row>
    <row r="545" spans="2:20" x14ac:dyDescent="0.55000000000000004">
      <c r="B545" s="116"/>
      <c r="C545" s="116"/>
      <c r="T545" s="111"/>
    </row>
    <row r="546" spans="2:20" x14ac:dyDescent="0.55000000000000004">
      <c r="B546" s="116"/>
      <c r="C546" s="116"/>
      <c r="T546" s="111"/>
    </row>
    <row r="547" spans="2:20" x14ac:dyDescent="0.55000000000000004">
      <c r="B547" s="116"/>
      <c r="C547" s="116"/>
      <c r="T547" s="111"/>
    </row>
    <row r="548" spans="2:20" x14ac:dyDescent="0.55000000000000004">
      <c r="B548" s="116"/>
      <c r="C548" s="116"/>
      <c r="T548" s="111"/>
    </row>
    <row r="549" spans="2:20" x14ac:dyDescent="0.55000000000000004">
      <c r="B549" s="116"/>
      <c r="C549" s="116"/>
      <c r="T549" s="111"/>
    </row>
    <row r="550" spans="2:20" x14ac:dyDescent="0.55000000000000004">
      <c r="B550" s="116"/>
      <c r="C550" s="116"/>
      <c r="T550" s="111"/>
    </row>
    <row r="551" spans="2:20" x14ac:dyDescent="0.55000000000000004">
      <c r="B551" s="116"/>
      <c r="C551" s="116"/>
      <c r="T551" s="111"/>
    </row>
    <row r="552" spans="2:20" x14ac:dyDescent="0.55000000000000004">
      <c r="B552" s="116"/>
      <c r="C552" s="116"/>
      <c r="T552" s="111"/>
    </row>
    <row r="553" spans="2:20" x14ac:dyDescent="0.55000000000000004">
      <c r="B553" s="116"/>
      <c r="C553" s="116"/>
      <c r="T553" s="111"/>
    </row>
    <row r="554" spans="2:20" x14ac:dyDescent="0.55000000000000004">
      <c r="B554" s="116"/>
      <c r="C554" s="116"/>
      <c r="T554" s="111"/>
    </row>
    <row r="555" spans="2:20" x14ac:dyDescent="0.55000000000000004">
      <c r="B555" s="116"/>
      <c r="C555" s="116"/>
      <c r="T555" s="111"/>
    </row>
    <row r="556" spans="2:20" x14ac:dyDescent="0.55000000000000004">
      <c r="B556" s="116"/>
      <c r="C556" s="116"/>
      <c r="T556" s="111"/>
    </row>
    <row r="557" spans="2:20" x14ac:dyDescent="0.55000000000000004">
      <c r="B557" s="116"/>
      <c r="C557" s="116"/>
      <c r="T557" s="111"/>
    </row>
    <row r="558" spans="2:20" x14ac:dyDescent="0.55000000000000004">
      <c r="B558" s="116"/>
      <c r="C558" s="116"/>
      <c r="T558" s="111"/>
    </row>
    <row r="559" spans="2:20" x14ac:dyDescent="0.55000000000000004">
      <c r="B559" s="116"/>
      <c r="C559" s="116"/>
      <c r="T559" s="111"/>
    </row>
    <row r="560" spans="2:20" x14ac:dyDescent="0.55000000000000004">
      <c r="B560" s="116"/>
      <c r="C560" s="116"/>
      <c r="T560" s="111"/>
    </row>
    <row r="561" spans="2:20" x14ac:dyDescent="0.55000000000000004">
      <c r="B561" s="116"/>
      <c r="C561" s="116"/>
      <c r="T561" s="111"/>
    </row>
    <row r="562" spans="2:20" x14ac:dyDescent="0.55000000000000004">
      <c r="B562" s="116"/>
      <c r="C562" s="116"/>
      <c r="T562" s="111"/>
    </row>
    <row r="563" spans="2:20" x14ac:dyDescent="0.55000000000000004">
      <c r="B563" s="116"/>
      <c r="C563" s="116"/>
    </row>
    <row r="564" spans="2:20" x14ac:dyDescent="0.55000000000000004">
      <c r="B564" s="116"/>
      <c r="C564" s="116"/>
    </row>
    <row r="565" spans="2:20" x14ac:dyDescent="0.55000000000000004">
      <c r="B565" s="116"/>
      <c r="C565" s="116"/>
    </row>
    <row r="566" spans="2:20" x14ac:dyDescent="0.55000000000000004">
      <c r="B566" s="116"/>
      <c r="C566" s="116"/>
    </row>
    <row r="567" spans="2:20" x14ac:dyDescent="0.55000000000000004">
      <c r="B567" s="116"/>
      <c r="C567" s="116"/>
    </row>
    <row r="568" spans="2:20" x14ac:dyDescent="0.55000000000000004">
      <c r="B568" s="116"/>
      <c r="C568" s="116"/>
    </row>
    <row r="569" spans="2:20" x14ac:dyDescent="0.55000000000000004">
      <c r="B569" s="116"/>
      <c r="C569" s="116"/>
    </row>
    <row r="570" spans="2:20" x14ac:dyDescent="0.55000000000000004">
      <c r="B570" s="116"/>
      <c r="C570" s="116"/>
    </row>
    <row r="571" spans="2:20" x14ac:dyDescent="0.55000000000000004">
      <c r="B571" s="116"/>
      <c r="C571" s="116"/>
    </row>
    <row r="572" spans="2:20" x14ac:dyDescent="0.55000000000000004">
      <c r="B572" s="116"/>
      <c r="C572" s="116"/>
    </row>
    <row r="573" spans="2:20" x14ac:dyDescent="0.55000000000000004">
      <c r="B573" s="116"/>
      <c r="C573" s="116"/>
    </row>
    <row r="574" spans="2:20" x14ac:dyDescent="0.55000000000000004">
      <c r="B574" s="116"/>
      <c r="C574" s="116"/>
    </row>
    <row r="575" spans="2:20" x14ac:dyDescent="0.55000000000000004">
      <c r="B575" s="116"/>
      <c r="C575" s="116"/>
    </row>
    <row r="576" spans="2:20" x14ac:dyDescent="0.55000000000000004">
      <c r="B576" s="116"/>
      <c r="C576" s="116"/>
    </row>
    <row r="577" spans="2:3" x14ac:dyDescent="0.55000000000000004">
      <c r="B577" s="116"/>
      <c r="C577" s="116"/>
    </row>
    <row r="11595" spans="12:12" x14ac:dyDescent="0.55000000000000004">
      <c r="L11595" s="57"/>
    </row>
    <row r="11596" spans="12:12" x14ac:dyDescent="0.55000000000000004">
      <c r="L11596" s="57"/>
    </row>
  </sheetData>
  <mergeCells count="26">
    <mergeCell ref="B489:U489"/>
    <mergeCell ref="B485:U485"/>
    <mergeCell ref="O8:S8"/>
    <mergeCell ref="T8:T10"/>
    <mergeCell ref="U8:U10"/>
    <mergeCell ref="O9:O10"/>
    <mergeCell ref="Q9:Q10"/>
    <mergeCell ref="R9:R10"/>
    <mergeCell ref="S9:S10"/>
    <mergeCell ref="P9:P10"/>
    <mergeCell ref="N8:N11"/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</mergeCells>
  <conditionalFormatting sqref="C88:C91 C77:C86">
    <cfRule type="duplicateValues" dxfId="6" priority="5"/>
    <cfRule type="duplicateValues" dxfId="5" priority="6"/>
  </conditionalFormatting>
  <conditionalFormatting sqref="C88:C91 C78:C86">
    <cfRule type="duplicateValues" dxfId="4" priority="4"/>
  </conditionalFormatting>
  <conditionalFormatting sqref="C397:C410">
    <cfRule type="duplicateValues" dxfId="3" priority="1"/>
    <cfRule type="duplicateValues" dxfId="2" priority="2"/>
    <cfRule type="duplicateValues" dxfId="1" priority="3"/>
  </conditionalFormatting>
  <pageMargins left="0.23622047244094491" right="0.23622047244094491" top="0.74803149606299213" bottom="0.35433070866141736" header="0.31496062992125984" footer="0.31496062992125984"/>
  <pageSetup paperSize="8" scale="18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C47"/>
  <sheetViews>
    <sheetView topLeftCell="A10" workbookViewId="0">
      <selection activeCell="C22" activeCellId="2" sqref="C8 C15 C22"/>
    </sheetView>
  </sheetViews>
  <sheetFormatPr defaultRowHeight="15" x14ac:dyDescent="0.25"/>
  <cols>
    <col min="1" max="1" width="28.7109375" customWidth="1"/>
    <col min="2" max="3" width="44.42578125" customWidth="1"/>
  </cols>
  <sheetData>
    <row r="1" spans="1:3" ht="18.75" x14ac:dyDescent="0.3">
      <c r="A1" s="2"/>
      <c r="B1" s="2"/>
      <c r="C1" s="3" t="s">
        <v>576</v>
      </c>
    </row>
    <row r="2" spans="1:3" ht="105" customHeight="1" x14ac:dyDescent="0.3">
      <c r="A2" s="2"/>
      <c r="B2" s="188" t="s">
        <v>571</v>
      </c>
      <c r="C2" s="188"/>
    </row>
    <row r="3" spans="1:3" ht="12" customHeight="1" x14ac:dyDescent="0.3">
      <c r="A3" s="2"/>
      <c r="B3" s="7"/>
      <c r="C3" s="7"/>
    </row>
    <row r="4" spans="1:3" ht="99" customHeight="1" x14ac:dyDescent="0.25">
      <c r="A4" s="189" t="s">
        <v>574</v>
      </c>
      <c r="B4" s="189"/>
      <c r="C4" s="189"/>
    </row>
    <row r="5" spans="1:3" ht="21.75" customHeight="1" x14ac:dyDescent="0.25">
      <c r="A5" s="6"/>
      <c r="B5" s="6"/>
      <c r="C5" s="6"/>
    </row>
    <row r="6" spans="1:3" ht="57" customHeight="1" x14ac:dyDescent="0.25">
      <c r="A6" s="190" t="s">
        <v>519</v>
      </c>
      <c r="B6" s="191"/>
      <c r="C6" s="192"/>
    </row>
    <row r="7" spans="1:3" ht="46.5" customHeight="1" x14ac:dyDescent="0.25">
      <c r="A7" s="190" t="s">
        <v>520</v>
      </c>
      <c r="B7" s="192"/>
      <c r="C7" s="4" t="s">
        <v>527</v>
      </c>
    </row>
    <row r="8" spans="1:3" ht="18.75" x14ac:dyDescent="0.3">
      <c r="A8" s="193" t="s">
        <v>521</v>
      </c>
      <c r="B8" s="194"/>
      <c r="C8" s="5">
        <f>Перечень!O14</f>
        <v>1310026716.0600002</v>
      </c>
    </row>
    <row r="9" spans="1:3" ht="51.75" customHeight="1" x14ac:dyDescent="0.3">
      <c r="A9" s="186" t="s">
        <v>522</v>
      </c>
      <c r="B9" s="187"/>
      <c r="C9" s="5">
        <f>Перечень!P14</f>
        <v>0</v>
      </c>
    </row>
    <row r="10" spans="1:3" ht="18.75" x14ac:dyDescent="0.3">
      <c r="A10" s="193" t="s">
        <v>523</v>
      </c>
      <c r="B10" s="194"/>
      <c r="C10" s="5">
        <f>Перечень!Q14</f>
        <v>0</v>
      </c>
    </row>
    <row r="11" spans="1:3" ht="18.75" x14ac:dyDescent="0.3">
      <c r="A11" s="193" t="s">
        <v>524</v>
      </c>
      <c r="B11" s="194"/>
      <c r="C11" s="5">
        <f>Перечень!R14</f>
        <v>46332780.340000004</v>
      </c>
    </row>
    <row r="12" spans="1:3" ht="18.75" x14ac:dyDescent="0.3">
      <c r="A12" s="193" t="s">
        <v>525</v>
      </c>
      <c r="B12" s="194"/>
      <c r="C12" s="5">
        <f>Перечень!S14</f>
        <v>1263693935.7199998</v>
      </c>
    </row>
    <row r="13" spans="1:3" ht="42.75" customHeight="1" x14ac:dyDescent="0.25">
      <c r="A13" s="190" t="s">
        <v>526</v>
      </c>
      <c r="B13" s="191"/>
      <c r="C13" s="192"/>
    </row>
    <row r="14" spans="1:3" ht="40.5" customHeight="1" x14ac:dyDescent="0.25">
      <c r="A14" s="190" t="s">
        <v>520</v>
      </c>
      <c r="B14" s="192"/>
      <c r="C14" s="4" t="s">
        <v>528</v>
      </c>
    </row>
    <row r="15" spans="1:3" ht="18.75" x14ac:dyDescent="0.3">
      <c r="A15" s="193" t="s">
        <v>521</v>
      </c>
      <c r="B15" s="194"/>
      <c r="C15" s="5">
        <f>Перечень!O184</f>
        <v>1485465801.8600001</v>
      </c>
    </row>
    <row r="16" spans="1:3" ht="51.75" customHeight="1" x14ac:dyDescent="0.3">
      <c r="A16" s="186" t="s">
        <v>522</v>
      </c>
      <c r="B16" s="187"/>
      <c r="C16" s="5">
        <f>Перечень!P184</f>
        <v>0</v>
      </c>
    </row>
    <row r="17" spans="1:3" ht="18.75" x14ac:dyDescent="0.3">
      <c r="A17" s="193" t="s">
        <v>523</v>
      </c>
      <c r="B17" s="194"/>
      <c r="C17" s="5">
        <f>Перечень!Q184</f>
        <v>0</v>
      </c>
    </row>
    <row r="18" spans="1:3" ht="18.75" x14ac:dyDescent="0.3">
      <c r="A18" s="193" t="s">
        <v>524</v>
      </c>
      <c r="B18" s="194"/>
      <c r="C18" s="5">
        <f>Перечень!R184</f>
        <v>0</v>
      </c>
    </row>
    <row r="19" spans="1:3" ht="18.75" x14ac:dyDescent="0.3">
      <c r="A19" s="193" t="s">
        <v>525</v>
      </c>
      <c r="B19" s="194"/>
      <c r="C19" s="5">
        <f>Перечень!S184</f>
        <v>1485465801.8600001</v>
      </c>
    </row>
    <row r="20" spans="1:3" ht="51.75" customHeight="1" x14ac:dyDescent="0.25">
      <c r="A20" s="190" t="s">
        <v>526</v>
      </c>
      <c r="B20" s="191"/>
      <c r="C20" s="192"/>
    </row>
    <row r="21" spans="1:3" ht="45.75" customHeight="1" x14ac:dyDescent="0.25">
      <c r="A21" s="190" t="s">
        <v>520</v>
      </c>
      <c r="B21" s="192"/>
      <c r="C21" s="4" t="s">
        <v>529</v>
      </c>
    </row>
    <row r="22" spans="1:3" ht="18.75" x14ac:dyDescent="0.3">
      <c r="A22" s="193" t="s">
        <v>521</v>
      </c>
      <c r="B22" s="194"/>
      <c r="C22" s="5">
        <f>Перечень!O336</f>
        <v>1390821338.6099999</v>
      </c>
    </row>
    <row r="23" spans="1:3" ht="43.5" customHeight="1" x14ac:dyDescent="0.3">
      <c r="A23" s="186" t="s">
        <v>522</v>
      </c>
      <c r="B23" s="187"/>
      <c r="C23" s="5">
        <f>Перечень!P336</f>
        <v>0</v>
      </c>
    </row>
    <row r="24" spans="1:3" ht="18.75" x14ac:dyDescent="0.3">
      <c r="A24" s="193" t="s">
        <v>523</v>
      </c>
      <c r="B24" s="194"/>
      <c r="C24" s="5">
        <f>Перечень!Q336</f>
        <v>0</v>
      </c>
    </row>
    <row r="25" spans="1:3" ht="18.75" x14ac:dyDescent="0.3">
      <c r="A25" s="193" t="s">
        <v>524</v>
      </c>
      <c r="B25" s="194"/>
      <c r="C25" s="5">
        <f>Перечень!R336</f>
        <v>0</v>
      </c>
    </row>
    <row r="26" spans="1:3" ht="18.75" x14ac:dyDescent="0.3">
      <c r="A26" s="193" t="s">
        <v>525</v>
      </c>
      <c r="B26" s="194"/>
      <c r="C26" s="5">
        <f>Перечень!S336</f>
        <v>1390821338.6099999</v>
      </c>
    </row>
    <row r="27" spans="1:3" ht="69" customHeight="1" x14ac:dyDescent="0.25">
      <c r="A27" s="190" t="s">
        <v>746</v>
      </c>
      <c r="B27" s="191"/>
      <c r="C27" s="192"/>
    </row>
    <row r="28" spans="1:3" ht="37.5" x14ac:dyDescent="0.25">
      <c r="A28" s="190" t="s">
        <v>520</v>
      </c>
      <c r="B28" s="192"/>
      <c r="C28" s="4" t="s">
        <v>527</v>
      </c>
    </row>
    <row r="29" spans="1:3" ht="18.75" x14ac:dyDescent="0.3">
      <c r="A29" s="193" t="s">
        <v>521</v>
      </c>
      <c r="B29" s="194"/>
      <c r="C29" s="5">
        <f>Перечень!O486</f>
        <v>16948149.629999999</v>
      </c>
    </row>
    <row r="30" spans="1:3" ht="18.75" x14ac:dyDescent="0.3">
      <c r="A30" s="193" t="s">
        <v>523</v>
      </c>
      <c r="B30" s="194"/>
      <c r="C30" s="5">
        <f>Перечень!Q486</f>
        <v>0</v>
      </c>
    </row>
    <row r="31" spans="1:3" ht="18.75" x14ac:dyDescent="0.3">
      <c r="A31" s="193" t="s">
        <v>524</v>
      </c>
      <c r="B31" s="194"/>
      <c r="C31" s="5">
        <f>Перечень!R486</f>
        <v>0</v>
      </c>
    </row>
    <row r="32" spans="1:3" ht="18.75" x14ac:dyDescent="0.3">
      <c r="A32" s="193" t="s">
        <v>525</v>
      </c>
      <c r="B32" s="194"/>
      <c r="C32" s="5">
        <f>C29-C30-C31</f>
        <v>16948149.629999999</v>
      </c>
    </row>
    <row r="33" spans="1:3" ht="41.25" customHeight="1" x14ac:dyDescent="0.25">
      <c r="A33" s="190" t="s">
        <v>739</v>
      </c>
      <c r="B33" s="191"/>
      <c r="C33" s="192"/>
    </row>
    <row r="34" spans="1:3" ht="37.5" x14ac:dyDescent="0.25">
      <c r="A34" s="190" t="s">
        <v>520</v>
      </c>
      <c r="B34" s="192"/>
      <c r="C34" s="4" t="s">
        <v>527</v>
      </c>
    </row>
    <row r="35" spans="1:3" ht="18.75" x14ac:dyDescent="0.3">
      <c r="A35" s="193" t="s">
        <v>521</v>
      </c>
      <c r="B35" s="194"/>
      <c r="C35" s="43">
        <f>Перечень!O490</f>
        <v>90752109.560000002</v>
      </c>
    </row>
    <row r="36" spans="1:3" ht="18.75" x14ac:dyDescent="0.3">
      <c r="A36" s="193" t="s">
        <v>740</v>
      </c>
      <c r="B36" s="194"/>
      <c r="C36" s="5">
        <f>Перечень!Q490</f>
        <v>73168831.129999995</v>
      </c>
    </row>
    <row r="37" spans="1:3" ht="18.75" x14ac:dyDescent="0.3">
      <c r="A37" s="193" t="s">
        <v>524</v>
      </c>
      <c r="B37" s="194"/>
      <c r="C37" s="5">
        <f>Перечень!R490</f>
        <v>3850991.1200000006</v>
      </c>
    </row>
    <row r="38" spans="1:3" ht="18.75" x14ac:dyDescent="0.3">
      <c r="A38" s="193" t="s">
        <v>525</v>
      </c>
      <c r="B38" s="194"/>
      <c r="C38" s="5">
        <f>РО!C35-РО!C36-РО!C37</f>
        <v>13732287.310000006</v>
      </c>
    </row>
    <row r="39" spans="1:3" ht="83.25" customHeight="1" x14ac:dyDescent="0.25">
      <c r="A39" s="190" t="s">
        <v>701</v>
      </c>
      <c r="B39" s="191"/>
      <c r="C39" s="192"/>
    </row>
    <row r="40" spans="1:3" ht="37.5" x14ac:dyDescent="0.25">
      <c r="A40" s="190" t="s">
        <v>520</v>
      </c>
      <c r="B40" s="192"/>
      <c r="C40" s="4" t="s">
        <v>527</v>
      </c>
    </row>
    <row r="41" spans="1:3" ht="18.75" x14ac:dyDescent="0.3">
      <c r="A41" s="193" t="s">
        <v>523</v>
      </c>
      <c r="B41" s="194"/>
      <c r="C41" s="5">
        <v>143519000</v>
      </c>
    </row>
    <row r="42" spans="1:3" ht="62.25" customHeight="1" x14ac:dyDescent="0.25">
      <c r="A42" s="190" t="s">
        <v>702</v>
      </c>
      <c r="B42" s="191"/>
      <c r="C42" s="192"/>
    </row>
    <row r="43" spans="1:3" ht="37.5" x14ac:dyDescent="0.25">
      <c r="A43" s="190" t="s">
        <v>520</v>
      </c>
      <c r="B43" s="192"/>
      <c r="C43" s="4" t="s">
        <v>528</v>
      </c>
    </row>
    <row r="44" spans="1:3" ht="18.75" x14ac:dyDescent="0.3">
      <c r="A44" s="193" t="s">
        <v>523</v>
      </c>
      <c r="B44" s="194"/>
      <c r="C44" s="5">
        <v>150871000</v>
      </c>
    </row>
    <row r="45" spans="1:3" ht="63.75" customHeight="1" x14ac:dyDescent="0.25">
      <c r="A45" s="190" t="s">
        <v>702</v>
      </c>
      <c r="B45" s="191"/>
      <c r="C45" s="192"/>
    </row>
    <row r="46" spans="1:3" ht="37.5" x14ac:dyDescent="0.25">
      <c r="A46" s="190" t="s">
        <v>520</v>
      </c>
      <c r="B46" s="192"/>
      <c r="C46" s="4" t="s">
        <v>529</v>
      </c>
    </row>
    <row r="47" spans="1:3" ht="24.75" customHeight="1" x14ac:dyDescent="0.3">
      <c r="A47" s="193" t="s">
        <v>523</v>
      </c>
      <c r="B47" s="194"/>
      <c r="C47" s="5">
        <v>153962900</v>
      </c>
    </row>
  </sheetData>
  <mergeCells count="44">
    <mergeCell ref="A38:B38"/>
    <mergeCell ref="A27:C27"/>
    <mergeCell ref="A28:B28"/>
    <mergeCell ref="A29:B29"/>
    <mergeCell ref="A30:B30"/>
    <mergeCell ref="A31:B31"/>
    <mergeCell ref="A32:B32"/>
    <mergeCell ref="A33:C33"/>
    <mergeCell ref="A34:B34"/>
    <mergeCell ref="A35:B35"/>
    <mergeCell ref="A36:B36"/>
    <mergeCell ref="A37:B37"/>
    <mergeCell ref="A45:C45"/>
    <mergeCell ref="A46:B46"/>
    <mergeCell ref="A47:B47"/>
    <mergeCell ref="A44:B44"/>
    <mergeCell ref="A39:C39"/>
    <mergeCell ref="A40:B40"/>
    <mergeCell ref="A41:B41"/>
    <mergeCell ref="A42:C42"/>
    <mergeCell ref="A43:B43"/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9:B9"/>
    <mergeCell ref="B2:C2"/>
    <mergeCell ref="A4:C4"/>
    <mergeCell ref="A6:C6"/>
    <mergeCell ref="A7:B7"/>
    <mergeCell ref="A8:B8"/>
  </mergeCells>
  <pageMargins left="0.23622047244094491" right="0.23622047244094491" top="0.74803149606299213" bottom="0.35433070866141736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98"/>
  <sheetViews>
    <sheetView zoomScale="70" zoomScaleNormal="70" workbookViewId="0">
      <selection activeCell="Q88" sqref="Q88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</cols>
  <sheetData>
    <row r="1" spans="1:8" ht="20.25" x14ac:dyDescent="0.25">
      <c r="A1" s="28"/>
      <c r="B1" s="28"/>
      <c r="C1" s="198" t="s">
        <v>568</v>
      </c>
      <c r="D1" s="198"/>
      <c r="E1" s="198"/>
      <c r="F1" s="198"/>
    </row>
    <row r="2" spans="1:8" ht="103.5" customHeight="1" x14ac:dyDescent="0.25">
      <c r="B2" s="29"/>
      <c r="C2" s="199" t="s">
        <v>569</v>
      </c>
      <c r="D2" s="199"/>
      <c r="E2" s="199"/>
      <c r="F2" s="199"/>
    </row>
    <row r="3" spans="1:8" x14ac:dyDescent="0.25">
      <c r="A3" s="200" t="s">
        <v>577</v>
      </c>
      <c r="B3" s="200"/>
      <c r="C3" s="200"/>
      <c r="D3" s="200"/>
      <c r="E3" s="200"/>
      <c r="F3" s="200"/>
    </row>
    <row r="4" spans="1:8" ht="114.75" customHeight="1" x14ac:dyDescent="0.25">
      <c r="A4" s="200"/>
      <c r="B4" s="200"/>
      <c r="C4" s="200"/>
      <c r="D4" s="200"/>
      <c r="E4" s="200"/>
      <c r="F4" s="200"/>
    </row>
    <row r="5" spans="1:8" x14ac:dyDescent="0.25">
      <c r="A5" s="201" t="s">
        <v>4</v>
      </c>
      <c r="B5" s="203" t="s">
        <v>530</v>
      </c>
      <c r="C5" s="201" t="s">
        <v>531</v>
      </c>
      <c r="D5" s="201" t="s">
        <v>532</v>
      </c>
      <c r="E5" s="201" t="s">
        <v>533</v>
      </c>
      <c r="F5" s="201" t="s">
        <v>534</v>
      </c>
    </row>
    <row r="6" spans="1:8" ht="39.75" customHeight="1" x14ac:dyDescent="0.25">
      <c r="A6" s="202"/>
      <c r="B6" s="204"/>
      <c r="C6" s="201"/>
      <c r="D6" s="201"/>
      <c r="E6" s="201"/>
      <c r="F6" s="201"/>
    </row>
    <row r="7" spans="1:8" ht="68.25" customHeight="1" x14ac:dyDescent="0.25">
      <c r="A7" s="202"/>
      <c r="B7" s="204"/>
      <c r="C7" s="201"/>
      <c r="D7" s="201"/>
      <c r="E7" s="201"/>
      <c r="F7" s="201"/>
    </row>
    <row r="8" spans="1:8" ht="20.25" x14ac:dyDescent="0.3">
      <c r="A8" s="202"/>
      <c r="B8" s="204"/>
      <c r="C8" s="30" t="s">
        <v>535</v>
      </c>
      <c r="D8" s="30" t="s">
        <v>316</v>
      </c>
      <c r="E8" s="31" t="s">
        <v>31</v>
      </c>
      <c r="F8" s="31" t="s">
        <v>30</v>
      </c>
    </row>
    <row r="9" spans="1:8" ht="20.25" x14ac:dyDescent="0.3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</row>
    <row r="10" spans="1:8" ht="20.25" x14ac:dyDescent="0.3">
      <c r="A10" s="32" t="s">
        <v>516</v>
      </c>
      <c r="B10" s="32"/>
      <c r="C10" s="33">
        <f>C11+C38+C64</f>
        <v>1099555.3700000001</v>
      </c>
      <c r="D10" s="34">
        <f t="shared" ref="D10:F10" si="0">D11+D38+D64</f>
        <v>41527</v>
      </c>
      <c r="E10" s="34">
        <f t="shared" si="0"/>
        <v>392</v>
      </c>
      <c r="F10" s="33">
        <f t="shared" si="0"/>
        <v>4186313856.5299997</v>
      </c>
    </row>
    <row r="11" spans="1:8" ht="20.25" x14ac:dyDescent="0.3">
      <c r="A11" s="32" t="s">
        <v>515</v>
      </c>
      <c r="B11" s="32"/>
      <c r="C11" s="35">
        <f>SUM(C12:C37)</f>
        <v>291816.89999999997</v>
      </c>
      <c r="D11" s="34">
        <f>SUM(D12:D37)</f>
        <v>11164</v>
      </c>
      <c r="E11" s="34">
        <f>SUM(E12:E37)</f>
        <v>143</v>
      </c>
      <c r="F11" s="35">
        <f>SUM(F12:F37)</f>
        <v>1310026716.0600002</v>
      </c>
    </row>
    <row r="12" spans="1:8" ht="20.25" x14ac:dyDescent="0.3">
      <c r="A12" s="36">
        <v>1</v>
      </c>
      <c r="B12" s="37" t="s">
        <v>113</v>
      </c>
      <c r="C12" s="35">
        <v>74848.670000000013</v>
      </c>
      <c r="D12" s="34">
        <v>2857</v>
      </c>
      <c r="E12" s="34">
        <v>26</v>
      </c>
      <c r="F12" s="35">
        <v>238289442</v>
      </c>
      <c r="H12" s="1"/>
    </row>
    <row r="13" spans="1:8" ht="20.25" x14ac:dyDescent="0.3">
      <c r="A13" s="36">
        <v>2</v>
      </c>
      <c r="B13" s="37" t="s">
        <v>169</v>
      </c>
      <c r="C13" s="35">
        <v>7766.2</v>
      </c>
      <c r="D13" s="34">
        <v>308</v>
      </c>
      <c r="E13" s="34">
        <v>6</v>
      </c>
      <c r="F13" s="35">
        <v>63240830.420000002</v>
      </c>
      <c r="H13" s="1"/>
    </row>
    <row r="14" spans="1:8" ht="20.25" x14ac:dyDescent="0.3">
      <c r="A14" s="36">
        <v>3</v>
      </c>
      <c r="B14" s="37" t="s">
        <v>153</v>
      </c>
      <c r="C14" s="35">
        <v>30827</v>
      </c>
      <c r="D14" s="34">
        <v>1334</v>
      </c>
      <c r="E14" s="34">
        <v>15</v>
      </c>
      <c r="F14" s="35">
        <v>120022693.7</v>
      </c>
      <c r="H14" s="1"/>
    </row>
    <row r="15" spans="1:8" ht="20.25" x14ac:dyDescent="0.3">
      <c r="A15" s="36">
        <v>4</v>
      </c>
      <c r="B15" s="38" t="s">
        <v>473</v>
      </c>
      <c r="C15" s="35">
        <v>32835.410000000003</v>
      </c>
      <c r="D15" s="34">
        <v>1177</v>
      </c>
      <c r="E15" s="39">
        <v>9</v>
      </c>
      <c r="F15" s="35">
        <v>89912910.519999996</v>
      </c>
      <c r="H15" s="1"/>
    </row>
    <row r="16" spans="1:8" ht="20.25" x14ac:dyDescent="0.3">
      <c r="A16" s="36">
        <v>5</v>
      </c>
      <c r="B16" s="37" t="s">
        <v>536</v>
      </c>
      <c r="C16" s="35">
        <v>6726.7</v>
      </c>
      <c r="D16" s="34">
        <v>181</v>
      </c>
      <c r="E16" s="39">
        <v>1</v>
      </c>
      <c r="F16" s="35">
        <v>15284190.040000001</v>
      </c>
      <c r="H16" s="1"/>
    </row>
    <row r="17" spans="1:8" ht="20.25" x14ac:dyDescent="0.3">
      <c r="A17" s="36">
        <v>6</v>
      </c>
      <c r="B17" s="37" t="s">
        <v>705</v>
      </c>
      <c r="C17" s="35">
        <v>47954.69</v>
      </c>
      <c r="D17" s="34">
        <v>1706</v>
      </c>
      <c r="E17" s="39">
        <v>14</v>
      </c>
      <c r="F17" s="35">
        <v>179194506.43000004</v>
      </c>
      <c r="H17" s="1"/>
    </row>
    <row r="18" spans="1:8" ht="20.25" x14ac:dyDescent="0.3">
      <c r="A18" s="36">
        <v>7</v>
      </c>
      <c r="B18" s="38" t="s">
        <v>537</v>
      </c>
      <c r="C18" s="35">
        <v>5299.9</v>
      </c>
      <c r="D18" s="34">
        <v>205</v>
      </c>
      <c r="E18" s="39">
        <v>3</v>
      </c>
      <c r="F18" s="35">
        <v>30481980.5</v>
      </c>
      <c r="H18" s="1"/>
    </row>
    <row r="19" spans="1:8" ht="20.25" x14ac:dyDescent="0.3">
      <c r="A19" s="36">
        <v>8</v>
      </c>
      <c r="B19" s="38" t="s">
        <v>540</v>
      </c>
      <c r="C19" s="35">
        <v>1260.3</v>
      </c>
      <c r="D19" s="34">
        <v>44</v>
      </c>
      <c r="E19" s="39">
        <v>1</v>
      </c>
      <c r="F19" s="35">
        <v>12513494.880000001</v>
      </c>
      <c r="H19" s="1"/>
    </row>
    <row r="20" spans="1:8" ht="20.25" x14ac:dyDescent="0.3">
      <c r="A20" s="36">
        <v>9</v>
      </c>
      <c r="B20" s="38" t="s">
        <v>547</v>
      </c>
      <c r="C20" s="35">
        <v>774.2</v>
      </c>
      <c r="D20" s="34">
        <v>42</v>
      </c>
      <c r="E20" s="39">
        <v>1</v>
      </c>
      <c r="F20" s="35">
        <v>7934068.75</v>
      </c>
      <c r="H20" s="1"/>
    </row>
    <row r="21" spans="1:8" ht="20.25" x14ac:dyDescent="0.3">
      <c r="A21" s="36">
        <v>10</v>
      </c>
      <c r="B21" s="38" t="s">
        <v>538</v>
      </c>
      <c r="C21" s="35">
        <v>415</v>
      </c>
      <c r="D21" s="34">
        <v>17</v>
      </c>
      <c r="E21" s="39">
        <v>1</v>
      </c>
      <c r="F21" s="35">
        <v>4570023.5999999996</v>
      </c>
      <c r="H21" s="1"/>
    </row>
    <row r="22" spans="1:8" ht="20.25" x14ac:dyDescent="0.3">
      <c r="A22" s="36">
        <v>11</v>
      </c>
      <c r="B22" s="38" t="s">
        <v>546</v>
      </c>
      <c r="C22" s="35">
        <v>1678.1999999999998</v>
      </c>
      <c r="D22" s="34">
        <v>91</v>
      </c>
      <c r="E22" s="39">
        <v>2</v>
      </c>
      <c r="F22" s="35">
        <v>12256188.469999999</v>
      </c>
      <c r="H22" s="1"/>
    </row>
    <row r="23" spans="1:8" ht="20.25" x14ac:dyDescent="0.3">
      <c r="A23" s="36">
        <v>12</v>
      </c>
      <c r="B23" s="38" t="s">
        <v>706</v>
      </c>
      <c r="C23" s="35">
        <v>4884.8599999999997</v>
      </c>
      <c r="D23" s="34">
        <v>174</v>
      </c>
      <c r="E23" s="39">
        <v>6</v>
      </c>
      <c r="F23" s="35">
        <v>32255875.340000004</v>
      </c>
      <c r="H23" s="1"/>
    </row>
    <row r="24" spans="1:8" ht="20.25" x14ac:dyDescent="0.3">
      <c r="A24" s="36">
        <v>13</v>
      </c>
      <c r="B24" s="37" t="s">
        <v>707</v>
      </c>
      <c r="C24" s="35">
        <v>2204.5</v>
      </c>
      <c r="D24" s="34">
        <v>47</v>
      </c>
      <c r="E24" s="39">
        <v>3</v>
      </c>
      <c r="F24" s="35">
        <v>25234806.379999999</v>
      </c>
      <c r="H24" s="1"/>
    </row>
    <row r="25" spans="1:8" ht="20.25" x14ac:dyDescent="0.3">
      <c r="A25" s="36">
        <v>14</v>
      </c>
      <c r="B25" s="37" t="s">
        <v>708</v>
      </c>
      <c r="C25" s="35">
        <v>3620.6</v>
      </c>
      <c r="D25" s="34">
        <v>129</v>
      </c>
      <c r="E25" s="39">
        <v>4</v>
      </c>
      <c r="F25" s="35">
        <v>59468472.069999993</v>
      </c>
      <c r="H25" s="1"/>
    </row>
    <row r="26" spans="1:8" ht="20.25" x14ac:dyDescent="0.3">
      <c r="A26" s="36">
        <v>15</v>
      </c>
      <c r="B26" s="37" t="s">
        <v>709</v>
      </c>
      <c r="C26" s="35">
        <v>13392.179999999998</v>
      </c>
      <c r="D26" s="34">
        <v>408</v>
      </c>
      <c r="E26" s="39">
        <v>4</v>
      </c>
      <c r="F26" s="35">
        <v>55312672.939999998</v>
      </c>
      <c r="H26" s="1"/>
    </row>
    <row r="27" spans="1:8" ht="20.25" x14ac:dyDescent="0.3">
      <c r="A27" s="36">
        <v>16</v>
      </c>
      <c r="B27" s="37" t="s">
        <v>716</v>
      </c>
      <c r="C27" s="35">
        <v>4344.6000000000004</v>
      </c>
      <c r="D27" s="34">
        <v>110</v>
      </c>
      <c r="E27" s="39">
        <v>4</v>
      </c>
      <c r="F27" s="35">
        <v>36548320.950000003</v>
      </c>
      <c r="H27" s="1"/>
    </row>
    <row r="28" spans="1:8" ht="20.25" x14ac:dyDescent="0.3">
      <c r="A28" s="36">
        <v>17</v>
      </c>
      <c r="B28" s="37" t="s">
        <v>710</v>
      </c>
      <c r="C28" s="35">
        <v>2717.8</v>
      </c>
      <c r="D28" s="34">
        <v>118</v>
      </c>
      <c r="E28" s="39">
        <v>5</v>
      </c>
      <c r="F28" s="35">
        <v>29943810.810000002</v>
      </c>
      <c r="H28" s="1"/>
    </row>
    <row r="29" spans="1:8" ht="20.25" x14ac:dyDescent="0.3">
      <c r="A29" s="36">
        <v>18</v>
      </c>
      <c r="B29" s="37" t="s">
        <v>223</v>
      </c>
      <c r="C29" s="35">
        <v>3941.22</v>
      </c>
      <c r="D29" s="34">
        <v>106</v>
      </c>
      <c r="E29" s="39">
        <v>3</v>
      </c>
      <c r="F29" s="35">
        <v>19260578.530000001</v>
      </c>
      <c r="H29" s="1"/>
    </row>
    <row r="30" spans="1:8" ht="20.25" x14ac:dyDescent="0.3">
      <c r="A30" s="36">
        <v>19</v>
      </c>
      <c r="B30" s="38" t="s">
        <v>711</v>
      </c>
      <c r="C30" s="35">
        <v>16270.210000000001</v>
      </c>
      <c r="D30" s="34">
        <v>661</v>
      </c>
      <c r="E30" s="39">
        <v>7</v>
      </c>
      <c r="F30" s="35">
        <v>76637550.150000006</v>
      </c>
      <c r="H30" s="1"/>
    </row>
    <row r="31" spans="1:8" ht="20.25" x14ac:dyDescent="0.3">
      <c r="A31" s="36">
        <v>20</v>
      </c>
      <c r="B31" s="38" t="s">
        <v>712</v>
      </c>
      <c r="C31" s="35">
        <v>8332.4</v>
      </c>
      <c r="D31" s="34">
        <v>339</v>
      </c>
      <c r="E31" s="39">
        <v>7</v>
      </c>
      <c r="F31" s="35">
        <v>53286193.409999996</v>
      </c>
      <c r="H31" s="1"/>
    </row>
    <row r="32" spans="1:8" ht="20.25" x14ac:dyDescent="0.3">
      <c r="A32" s="36">
        <v>21</v>
      </c>
      <c r="B32" s="37" t="s">
        <v>713</v>
      </c>
      <c r="C32" s="35">
        <v>400.8</v>
      </c>
      <c r="D32" s="34">
        <v>21</v>
      </c>
      <c r="E32" s="39">
        <v>1</v>
      </c>
      <c r="F32" s="35">
        <v>5480018.8700000001</v>
      </c>
      <c r="H32" s="1"/>
    </row>
    <row r="33" spans="1:8" ht="20.25" x14ac:dyDescent="0.3">
      <c r="A33" s="36">
        <v>22</v>
      </c>
      <c r="B33" s="37" t="s">
        <v>243</v>
      </c>
      <c r="C33" s="35">
        <v>11956.66</v>
      </c>
      <c r="D33" s="34">
        <v>648</v>
      </c>
      <c r="E33" s="39">
        <v>9</v>
      </c>
      <c r="F33" s="35">
        <v>62490575.879999995</v>
      </c>
      <c r="H33" s="1"/>
    </row>
    <row r="34" spans="1:8" ht="20.25" x14ac:dyDescent="0.3">
      <c r="A34" s="36">
        <v>23</v>
      </c>
      <c r="B34" s="37" t="s">
        <v>714</v>
      </c>
      <c r="C34" s="35">
        <v>3024.8999999999996</v>
      </c>
      <c r="D34" s="34">
        <v>175</v>
      </c>
      <c r="E34" s="39">
        <v>5</v>
      </c>
      <c r="F34" s="35">
        <v>36611300.780000001</v>
      </c>
      <c r="H34" s="1"/>
    </row>
    <row r="35" spans="1:8" ht="20.25" x14ac:dyDescent="0.3">
      <c r="A35" s="36">
        <v>24</v>
      </c>
      <c r="B35" s="37" t="s">
        <v>545</v>
      </c>
      <c r="C35" s="35">
        <v>961.7</v>
      </c>
      <c r="D35" s="34">
        <v>45</v>
      </c>
      <c r="E35" s="39">
        <v>1</v>
      </c>
      <c r="F35" s="35">
        <v>12186729.6</v>
      </c>
      <c r="H35" s="1"/>
    </row>
    <row r="36" spans="1:8" ht="20.25" x14ac:dyDescent="0.3">
      <c r="A36" s="36">
        <v>25</v>
      </c>
      <c r="B36" s="37" t="s">
        <v>542</v>
      </c>
      <c r="C36" s="35">
        <v>1035.0999999999999</v>
      </c>
      <c r="D36" s="34">
        <v>46</v>
      </c>
      <c r="E36" s="39">
        <v>3</v>
      </c>
      <c r="F36" s="35">
        <v>8962475.1999999993</v>
      </c>
      <c r="H36" s="1"/>
    </row>
    <row r="37" spans="1:8" ht="20.25" x14ac:dyDescent="0.3">
      <c r="A37" s="36">
        <v>26</v>
      </c>
      <c r="B37" s="37" t="s">
        <v>715</v>
      </c>
      <c r="C37" s="35">
        <v>4343.1000000000004</v>
      </c>
      <c r="D37" s="34">
        <v>175</v>
      </c>
      <c r="E37" s="39">
        <v>2</v>
      </c>
      <c r="F37" s="35">
        <v>22647005.84</v>
      </c>
      <c r="H37" s="1"/>
    </row>
    <row r="38" spans="1:8" ht="20.25" x14ac:dyDescent="0.3">
      <c r="A38" s="32" t="s">
        <v>517</v>
      </c>
      <c r="B38" s="27"/>
      <c r="C38" s="35">
        <f>SUM(C39:C63)</f>
        <v>455358.15</v>
      </c>
      <c r="D38" s="34">
        <f t="shared" ref="D38:F38" si="1">SUM(D39:D63)</f>
        <v>16800</v>
      </c>
      <c r="E38" s="40">
        <f t="shared" si="1"/>
        <v>126</v>
      </c>
      <c r="F38" s="35">
        <f t="shared" si="1"/>
        <v>1485465801.8600001</v>
      </c>
    </row>
    <row r="39" spans="1:8" ht="20.25" x14ac:dyDescent="0.3">
      <c r="A39" s="36">
        <v>1</v>
      </c>
      <c r="B39" s="37" t="s">
        <v>113</v>
      </c>
      <c r="C39" s="35">
        <v>136033.30000000002</v>
      </c>
      <c r="D39" s="39">
        <v>5323</v>
      </c>
      <c r="E39" s="39">
        <v>35</v>
      </c>
      <c r="F39" s="35">
        <v>339320692.25000012</v>
      </c>
    </row>
    <row r="40" spans="1:8" ht="20.25" x14ac:dyDescent="0.3">
      <c r="A40" s="36">
        <v>2</v>
      </c>
      <c r="B40" s="37" t="s">
        <v>169</v>
      </c>
      <c r="C40" s="35">
        <v>19027.300000000003</v>
      </c>
      <c r="D40" s="39">
        <v>612</v>
      </c>
      <c r="E40" s="39">
        <v>4</v>
      </c>
      <c r="F40" s="35">
        <v>52701776.930000007</v>
      </c>
    </row>
    <row r="41" spans="1:8" ht="20.25" x14ac:dyDescent="0.3">
      <c r="A41" s="36">
        <v>3</v>
      </c>
      <c r="B41" s="37" t="s">
        <v>153</v>
      </c>
      <c r="C41" s="35">
        <v>80094.84</v>
      </c>
      <c r="D41" s="39">
        <v>2492</v>
      </c>
      <c r="E41" s="39">
        <v>18</v>
      </c>
      <c r="F41" s="35">
        <v>219003561.21000001</v>
      </c>
    </row>
    <row r="42" spans="1:8" ht="20.25" x14ac:dyDescent="0.3">
      <c r="A42" s="36">
        <v>4</v>
      </c>
      <c r="B42" s="38" t="s">
        <v>473</v>
      </c>
      <c r="C42" s="35">
        <v>38468.080000000009</v>
      </c>
      <c r="D42" s="39">
        <v>1301</v>
      </c>
      <c r="E42" s="39">
        <v>11</v>
      </c>
      <c r="F42" s="35">
        <v>155116511.13</v>
      </c>
    </row>
    <row r="43" spans="1:8" ht="20.25" x14ac:dyDescent="0.3">
      <c r="A43" s="36">
        <v>5</v>
      </c>
      <c r="B43" s="37" t="s">
        <v>536</v>
      </c>
      <c r="C43" s="35">
        <v>21277.5</v>
      </c>
      <c r="D43" s="39">
        <v>829</v>
      </c>
      <c r="E43" s="39">
        <v>2</v>
      </c>
      <c r="F43" s="35">
        <v>50610672.200000003</v>
      </c>
    </row>
    <row r="44" spans="1:8" ht="20.25" x14ac:dyDescent="0.3">
      <c r="A44" s="36">
        <v>6</v>
      </c>
      <c r="B44" s="38" t="s">
        <v>705</v>
      </c>
      <c r="C44" s="35">
        <v>55078.29</v>
      </c>
      <c r="D44" s="39">
        <v>2201</v>
      </c>
      <c r="E44" s="39">
        <v>15</v>
      </c>
      <c r="F44" s="35">
        <v>180300665.99000001</v>
      </c>
    </row>
    <row r="45" spans="1:8" ht="20.25" x14ac:dyDescent="0.3">
      <c r="A45" s="36">
        <v>7</v>
      </c>
      <c r="B45" s="38" t="s">
        <v>537</v>
      </c>
      <c r="C45" s="35">
        <v>6611.2</v>
      </c>
      <c r="D45" s="39">
        <v>436</v>
      </c>
      <c r="E45" s="39">
        <v>3</v>
      </c>
      <c r="F45" s="35">
        <v>33450033.850000001</v>
      </c>
    </row>
    <row r="46" spans="1:8" ht="20.25" x14ac:dyDescent="0.3">
      <c r="A46" s="36">
        <v>8</v>
      </c>
      <c r="B46" s="38" t="s">
        <v>541</v>
      </c>
      <c r="C46" s="35">
        <v>706.3</v>
      </c>
      <c r="D46" s="39">
        <v>42</v>
      </c>
      <c r="E46" s="39">
        <v>1</v>
      </c>
      <c r="F46" s="35">
        <v>7540538.9000000004</v>
      </c>
    </row>
    <row r="47" spans="1:8" ht="20.25" x14ac:dyDescent="0.3">
      <c r="A47" s="36">
        <v>9</v>
      </c>
      <c r="B47" s="38" t="s">
        <v>539</v>
      </c>
      <c r="C47" s="35">
        <v>686</v>
      </c>
      <c r="D47" s="39">
        <v>42</v>
      </c>
      <c r="E47" s="39">
        <v>1</v>
      </c>
      <c r="F47" s="35">
        <v>9114658.1800000016</v>
      </c>
    </row>
    <row r="48" spans="1:8" ht="20.25" x14ac:dyDescent="0.3">
      <c r="A48" s="36">
        <v>10</v>
      </c>
      <c r="B48" s="38" t="s">
        <v>547</v>
      </c>
      <c r="C48" s="35">
        <v>956.2</v>
      </c>
      <c r="D48" s="39">
        <v>47</v>
      </c>
      <c r="E48" s="39">
        <v>1</v>
      </c>
      <c r="F48" s="35">
        <v>13227679.42</v>
      </c>
    </row>
    <row r="49" spans="1:6" ht="20.25" x14ac:dyDescent="0.3">
      <c r="A49" s="36">
        <v>11</v>
      </c>
      <c r="B49" s="38" t="s">
        <v>540</v>
      </c>
      <c r="C49" s="35">
        <v>785.9</v>
      </c>
      <c r="D49" s="39">
        <v>37</v>
      </c>
      <c r="E49" s="39">
        <v>1</v>
      </c>
      <c r="F49" s="35">
        <v>8307287.3399999999</v>
      </c>
    </row>
    <row r="50" spans="1:6" ht="20.25" x14ac:dyDescent="0.3">
      <c r="A50" s="36">
        <v>12</v>
      </c>
      <c r="B50" s="37" t="s">
        <v>706</v>
      </c>
      <c r="C50" s="35">
        <v>12793.8</v>
      </c>
      <c r="D50" s="39">
        <v>432</v>
      </c>
      <c r="E50" s="39">
        <v>2</v>
      </c>
      <c r="F50" s="35">
        <v>41965438.079999998</v>
      </c>
    </row>
    <row r="51" spans="1:6" ht="20.25" x14ac:dyDescent="0.3">
      <c r="A51" s="36">
        <v>13</v>
      </c>
      <c r="B51" s="37" t="s">
        <v>707</v>
      </c>
      <c r="C51" s="35">
        <v>1312</v>
      </c>
      <c r="D51" s="39">
        <v>49</v>
      </c>
      <c r="E51" s="39">
        <v>2</v>
      </c>
      <c r="F51" s="35">
        <v>16945572.640000001</v>
      </c>
    </row>
    <row r="52" spans="1:6" ht="20.25" x14ac:dyDescent="0.3">
      <c r="A52" s="36">
        <v>14</v>
      </c>
      <c r="B52" s="37" t="s">
        <v>708</v>
      </c>
      <c r="C52" s="35">
        <v>648.1</v>
      </c>
      <c r="D52" s="39">
        <v>29</v>
      </c>
      <c r="E52" s="39">
        <v>1</v>
      </c>
      <c r="F52" s="35">
        <v>7270971.0200000005</v>
      </c>
    </row>
    <row r="53" spans="1:6" ht="20.25" x14ac:dyDescent="0.3">
      <c r="A53" s="36">
        <v>15</v>
      </c>
      <c r="B53" s="37" t="s">
        <v>709</v>
      </c>
      <c r="C53" s="35">
        <v>14577.779999999999</v>
      </c>
      <c r="D53" s="39">
        <v>632</v>
      </c>
      <c r="E53" s="39">
        <v>5</v>
      </c>
      <c r="F53" s="35">
        <v>61795681.159999996</v>
      </c>
    </row>
    <row r="54" spans="1:6" ht="20.25" x14ac:dyDescent="0.3">
      <c r="A54" s="36">
        <v>16</v>
      </c>
      <c r="B54" s="37" t="s">
        <v>716</v>
      </c>
      <c r="C54" s="35">
        <v>6442.8</v>
      </c>
      <c r="D54" s="39">
        <v>125</v>
      </c>
      <c r="E54" s="39">
        <v>3</v>
      </c>
      <c r="F54" s="35">
        <v>31395610.529999997</v>
      </c>
    </row>
    <row r="55" spans="1:6" ht="20.25" x14ac:dyDescent="0.3">
      <c r="A55" s="36">
        <v>17</v>
      </c>
      <c r="B55" s="37" t="s">
        <v>710</v>
      </c>
      <c r="C55" s="35">
        <v>1194.5999999999999</v>
      </c>
      <c r="D55" s="39">
        <v>55</v>
      </c>
      <c r="E55" s="39">
        <v>2</v>
      </c>
      <c r="F55" s="35">
        <v>12274100.550000001</v>
      </c>
    </row>
    <row r="56" spans="1:6" ht="20.25" x14ac:dyDescent="0.3">
      <c r="A56" s="36">
        <v>18</v>
      </c>
      <c r="B56" s="37" t="s">
        <v>223</v>
      </c>
      <c r="C56" s="35">
        <v>1364.6999999999998</v>
      </c>
      <c r="D56" s="39">
        <v>56</v>
      </c>
      <c r="E56" s="39">
        <v>2</v>
      </c>
      <c r="F56" s="35">
        <v>10822302.309999999</v>
      </c>
    </row>
    <row r="57" spans="1:6" ht="20.25" x14ac:dyDescent="0.3">
      <c r="A57" s="36">
        <v>19</v>
      </c>
      <c r="B57" s="38" t="s">
        <v>711</v>
      </c>
      <c r="C57" s="35">
        <v>12592.59</v>
      </c>
      <c r="D57" s="39">
        <v>473</v>
      </c>
      <c r="E57" s="39">
        <v>2</v>
      </c>
      <c r="F57" s="35">
        <v>42260023.789999999</v>
      </c>
    </row>
    <row r="58" spans="1:6" ht="20.25" x14ac:dyDescent="0.3">
      <c r="A58" s="36">
        <v>20</v>
      </c>
      <c r="B58" s="38" t="s">
        <v>712</v>
      </c>
      <c r="C58" s="35">
        <v>13179.39</v>
      </c>
      <c r="D58" s="39">
        <v>525</v>
      </c>
      <c r="E58" s="39">
        <v>3</v>
      </c>
      <c r="F58" s="35">
        <v>54198804.079999998</v>
      </c>
    </row>
    <row r="59" spans="1:6" ht="20.25" x14ac:dyDescent="0.3">
      <c r="A59" s="36">
        <v>21</v>
      </c>
      <c r="B59" s="37" t="s">
        <v>713</v>
      </c>
      <c r="C59" s="35">
        <v>3282.5</v>
      </c>
      <c r="D59" s="39">
        <v>156</v>
      </c>
      <c r="E59" s="39">
        <v>1</v>
      </c>
      <c r="F59" s="35">
        <v>13374774.17</v>
      </c>
    </row>
    <row r="60" spans="1:6" ht="20.25" x14ac:dyDescent="0.3">
      <c r="A60" s="36">
        <v>22</v>
      </c>
      <c r="B60" s="37" t="s">
        <v>243</v>
      </c>
      <c r="C60" s="35">
        <v>16010.28</v>
      </c>
      <c r="D60" s="39">
        <v>498</v>
      </c>
      <c r="E60" s="39">
        <v>4</v>
      </c>
      <c r="F60" s="35">
        <v>50950786.43</v>
      </c>
    </row>
    <row r="61" spans="1:6" ht="20.25" x14ac:dyDescent="0.3">
      <c r="A61" s="36">
        <v>23</v>
      </c>
      <c r="B61" s="37" t="s">
        <v>714</v>
      </c>
      <c r="C61" s="35">
        <v>2923.7000000000003</v>
      </c>
      <c r="D61" s="39">
        <v>84</v>
      </c>
      <c r="E61" s="39">
        <v>4</v>
      </c>
      <c r="F61" s="35">
        <v>31040912.140000001</v>
      </c>
    </row>
    <row r="62" spans="1:6" ht="20.25" x14ac:dyDescent="0.3">
      <c r="A62" s="36">
        <v>24</v>
      </c>
      <c r="B62" s="37" t="s">
        <v>542</v>
      </c>
      <c r="C62" s="35">
        <v>4168.3999999999996</v>
      </c>
      <c r="D62" s="39">
        <v>133</v>
      </c>
      <c r="E62" s="39">
        <v>2</v>
      </c>
      <c r="F62" s="35">
        <v>21513820</v>
      </c>
    </row>
    <row r="63" spans="1:6" ht="20.25" x14ac:dyDescent="0.3">
      <c r="A63" s="36">
        <v>25</v>
      </c>
      <c r="B63" s="37" t="s">
        <v>715</v>
      </c>
      <c r="C63" s="35">
        <v>5142.6000000000004</v>
      </c>
      <c r="D63" s="39">
        <v>191</v>
      </c>
      <c r="E63" s="39">
        <v>1</v>
      </c>
      <c r="F63" s="35">
        <v>20962927.559999999</v>
      </c>
    </row>
    <row r="64" spans="1:6" ht="20.25" x14ac:dyDescent="0.3">
      <c r="A64" s="32" t="s">
        <v>518</v>
      </c>
      <c r="B64" s="27"/>
      <c r="C64" s="35">
        <f>SUM(C65:C89)</f>
        <v>352380.31999999995</v>
      </c>
      <c r="D64" s="34">
        <f t="shared" ref="D64:F64" si="2">SUM(D65:D89)</f>
        <v>13563</v>
      </c>
      <c r="E64" s="39">
        <f>SUM(E65:E89)</f>
        <v>123</v>
      </c>
      <c r="F64" s="35">
        <f t="shared" si="2"/>
        <v>1390821338.6099999</v>
      </c>
    </row>
    <row r="65" spans="1:6" ht="20.25" x14ac:dyDescent="0.3">
      <c r="A65" s="36">
        <v>1</v>
      </c>
      <c r="B65" s="37" t="s">
        <v>113</v>
      </c>
      <c r="C65" s="35">
        <v>113574.21000000002</v>
      </c>
      <c r="D65" s="39">
        <v>4446</v>
      </c>
      <c r="E65" s="39">
        <v>27</v>
      </c>
      <c r="F65" s="35">
        <v>333700934.19999999</v>
      </c>
    </row>
    <row r="66" spans="1:6" ht="20.25" x14ac:dyDescent="0.3">
      <c r="A66" s="36">
        <v>2</v>
      </c>
      <c r="B66" s="37" t="s">
        <v>169</v>
      </c>
      <c r="C66" s="35">
        <v>12137.9</v>
      </c>
      <c r="D66" s="39">
        <v>575</v>
      </c>
      <c r="E66" s="39">
        <v>5</v>
      </c>
      <c r="F66" s="35">
        <v>60223102.890000001</v>
      </c>
    </row>
    <row r="67" spans="1:6" ht="20.25" x14ac:dyDescent="0.3">
      <c r="A67" s="36">
        <v>3</v>
      </c>
      <c r="B67" s="37" t="s">
        <v>153</v>
      </c>
      <c r="C67" s="35">
        <v>34513.399999999994</v>
      </c>
      <c r="D67" s="39">
        <v>1238</v>
      </c>
      <c r="E67" s="39">
        <v>13</v>
      </c>
      <c r="F67" s="35">
        <v>176719887.50999999</v>
      </c>
    </row>
    <row r="68" spans="1:6" ht="20.25" x14ac:dyDescent="0.3">
      <c r="A68" s="36">
        <v>4</v>
      </c>
      <c r="B68" s="37" t="s">
        <v>473</v>
      </c>
      <c r="C68" s="35">
        <v>40402.61</v>
      </c>
      <c r="D68" s="39">
        <v>1523</v>
      </c>
      <c r="E68" s="39">
        <v>11</v>
      </c>
      <c r="F68" s="35">
        <v>142209192.10999998</v>
      </c>
    </row>
    <row r="69" spans="1:6" ht="20.25" x14ac:dyDescent="0.3">
      <c r="A69" s="36">
        <v>5</v>
      </c>
      <c r="B69" s="37" t="s">
        <v>705</v>
      </c>
      <c r="C69" s="35">
        <v>50241.880000000005</v>
      </c>
      <c r="D69" s="39">
        <v>1875</v>
      </c>
      <c r="E69" s="39">
        <v>13</v>
      </c>
      <c r="F69" s="35">
        <v>157618575.54000002</v>
      </c>
    </row>
    <row r="70" spans="1:6" ht="20.25" x14ac:dyDescent="0.3">
      <c r="A70" s="36">
        <v>6</v>
      </c>
      <c r="B70" s="37" t="s">
        <v>537</v>
      </c>
      <c r="C70" s="35">
        <v>13173.8</v>
      </c>
      <c r="D70" s="39">
        <v>581</v>
      </c>
      <c r="E70" s="39">
        <v>3</v>
      </c>
      <c r="F70" s="35">
        <v>57437679.219999999</v>
      </c>
    </row>
    <row r="71" spans="1:6" ht="20.25" x14ac:dyDescent="0.3">
      <c r="A71" s="36">
        <v>7</v>
      </c>
      <c r="B71" s="37" t="s">
        <v>541</v>
      </c>
      <c r="C71" s="35">
        <v>374.4</v>
      </c>
      <c r="D71" s="39">
        <v>8</v>
      </c>
      <c r="E71" s="39">
        <v>1</v>
      </c>
      <c r="F71" s="35">
        <v>6652275.6299999999</v>
      </c>
    </row>
    <row r="72" spans="1:6" ht="20.25" x14ac:dyDescent="0.3">
      <c r="A72" s="36">
        <v>8</v>
      </c>
      <c r="B72" s="37" t="s">
        <v>546</v>
      </c>
      <c r="C72" s="35">
        <v>931.4</v>
      </c>
      <c r="D72" s="39">
        <v>57</v>
      </c>
      <c r="E72" s="39">
        <v>1</v>
      </c>
      <c r="F72" s="35">
        <v>11298113.899999999</v>
      </c>
    </row>
    <row r="73" spans="1:6" ht="20.25" x14ac:dyDescent="0.3">
      <c r="A73" s="36">
        <v>9</v>
      </c>
      <c r="B73" s="37" t="s">
        <v>706</v>
      </c>
      <c r="C73" s="35">
        <v>10366.200000000001</v>
      </c>
      <c r="D73" s="39">
        <v>241</v>
      </c>
      <c r="E73" s="39">
        <v>2</v>
      </c>
      <c r="F73" s="35">
        <v>30289101</v>
      </c>
    </row>
    <row r="74" spans="1:6" ht="20.25" x14ac:dyDescent="0.3">
      <c r="A74" s="36">
        <v>10</v>
      </c>
      <c r="B74" s="37" t="s">
        <v>707</v>
      </c>
      <c r="C74" s="35">
        <v>769</v>
      </c>
      <c r="D74" s="39">
        <v>28</v>
      </c>
      <c r="E74" s="39">
        <v>2</v>
      </c>
      <c r="F74" s="35">
        <v>14357909.359999999</v>
      </c>
    </row>
    <row r="75" spans="1:6" ht="20.25" x14ac:dyDescent="0.3">
      <c r="A75" s="36">
        <v>11</v>
      </c>
      <c r="B75" s="37" t="s">
        <v>708</v>
      </c>
      <c r="C75" s="35">
        <v>521.6</v>
      </c>
      <c r="D75" s="39">
        <v>21</v>
      </c>
      <c r="E75" s="39">
        <v>1</v>
      </c>
      <c r="F75" s="35">
        <v>7616706</v>
      </c>
    </row>
    <row r="76" spans="1:6" ht="20.25" x14ac:dyDescent="0.3">
      <c r="A76" s="36">
        <v>12</v>
      </c>
      <c r="B76" s="37" t="s">
        <v>709</v>
      </c>
      <c r="C76" s="35">
        <v>12710.05</v>
      </c>
      <c r="D76" s="39">
        <v>519</v>
      </c>
      <c r="E76" s="39">
        <v>7</v>
      </c>
      <c r="F76" s="35">
        <v>59404379.280000001</v>
      </c>
    </row>
    <row r="77" spans="1:6" ht="20.25" x14ac:dyDescent="0.3">
      <c r="A77" s="36">
        <v>13</v>
      </c>
      <c r="B77" s="37" t="s">
        <v>716</v>
      </c>
      <c r="C77" s="35">
        <v>2474.1</v>
      </c>
      <c r="D77" s="39">
        <v>44</v>
      </c>
      <c r="E77" s="39">
        <v>3</v>
      </c>
      <c r="F77" s="35">
        <v>27229723.949999999</v>
      </c>
    </row>
    <row r="78" spans="1:6" ht="20.25" x14ac:dyDescent="0.3">
      <c r="A78" s="36">
        <v>14</v>
      </c>
      <c r="B78" s="37" t="s">
        <v>710</v>
      </c>
      <c r="C78" s="35">
        <v>5222.5999999999995</v>
      </c>
      <c r="D78" s="39">
        <v>191</v>
      </c>
      <c r="E78" s="39">
        <v>8</v>
      </c>
      <c r="F78" s="35">
        <v>54164763.110000007</v>
      </c>
    </row>
    <row r="79" spans="1:6" ht="20.25" x14ac:dyDescent="0.3">
      <c r="A79" s="36">
        <v>15</v>
      </c>
      <c r="B79" s="37" t="s">
        <v>223</v>
      </c>
      <c r="C79" s="35">
        <v>5216.63</v>
      </c>
      <c r="D79" s="39">
        <v>126</v>
      </c>
      <c r="E79" s="39">
        <v>1</v>
      </c>
      <c r="F79" s="35">
        <v>14453477.609999999</v>
      </c>
    </row>
    <row r="80" spans="1:6" ht="20.25" x14ac:dyDescent="0.3">
      <c r="A80" s="36">
        <v>16</v>
      </c>
      <c r="B80" s="37" t="s">
        <v>711</v>
      </c>
      <c r="C80" s="35">
        <v>3705.8999999999996</v>
      </c>
      <c r="D80" s="39">
        <v>214</v>
      </c>
      <c r="E80" s="39">
        <v>5</v>
      </c>
      <c r="F80" s="35">
        <v>42707353.960000001</v>
      </c>
    </row>
    <row r="81" spans="1:6" ht="20.25" x14ac:dyDescent="0.3">
      <c r="A81" s="36">
        <v>17</v>
      </c>
      <c r="B81" s="37" t="s">
        <v>712</v>
      </c>
      <c r="C81" s="35">
        <v>12077.75</v>
      </c>
      <c r="D81" s="39">
        <v>539</v>
      </c>
      <c r="E81" s="39">
        <v>3</v>
      </c>
      <c r="F81" s="35">
        <v>48109009.640000001</v>
      </c>
    </row>
    <row r="82" spans="1:6" ht="20.25" x14ac:dyDescent="0.3">
      <c r="A82" s="36">
        <v>18</v>
      </c>
      <c r="B82" s="37" t="s">
        <v>713</v>
      </c>
      <c r="C82" s="35">
        <v>960.1</v>
      </c>
      <c r="D82" s="39">
        <v>40</v>
      </c>
      <c r="E82" s="39">
        <v>1</v>
      </c>
      <c r="F82" s="35">
        <v>12022272.17</v>
      </c>
    </row>
    <row r="83" spans="1:6" ht="20.25" x14ac:dyDescent="0.3">
      <c r="A83" s="36">
        <v>19</v>
      </c>
      <c r="B83" s="37" t="s">
        <v>243</v>
      </c>
      <c r="C83" s="35">
        <v>18016.48</v>
      </c>
      <c r="D83" s="39">
        <v>526</v>
      </c>
      <c r="E83" s="39">
        <v>5</v>
      </c>
      <c r="F83" s="35">
        <v>53842195.050000004</v>
      </c>
    </row>
    <row r="84" spans="1:6" ht="20.25" x14ac:dyDescent="0.3">
      <c r="A84" s="36">
        <v>20</v>
      </c>
      <c r="B84" s="37" t="s">
        <v>714</v>
      </c>
      <c r="C84" s="35">
        <v>6700.91</v>
      </c>
      <c r="D84" s="39">
        <v>464</v>
      </c>
      <c r="E84" s="39">
        <v>6</v>
      </c>
      <c r="F84" s="35">
        <v>33777859.039999999</v>
      </c>
    </row>
    <row r="85" spans="1:6" ht="20.25" x14ac:dyDescent="0.3">
      <c r="A85" s="36">
        <v>21</v>
      </c>
      <c r="B85" s="37" t="s">
        <v>548</v>
      </c>
      <c r="C85" s="35">
        <v>402.9</v>
      </c>
      <c r="D85" s="39">
        <v>36</v>
      </c>
      <c r="E85" s="39">
        <v>1</v>
      </c>
      <c r="F85" s="35">
        <v>4441177.17</v>
      </c>
    </row>
    <row r="86" spans="1:6" ht="20.25" x14ac:dyDescent="0.3">
      <c r="A86" s="36">
        <v>22</v>
      </c>
      <c r="B86" s="37" t="s">
        <v>545</v>
      </c>
      <c r="C86" s="35">
        <v>432.7</v>
      </c>
      <c r="D86" s="39">
        <v>21</v>
      </c>
      <c r="E86" s="39">
        <v>1</v>
      </c>
      <c r="F86" s="35">
        <v>4595412.62</v>
      </c>
    </row>
    <row r="87" spans="1:6" ht="20.25" x14ac:dyDescent="0.3">
      <c r="A87" s="36">
        <v>23</v>
      </c>
      <c r="B87" s="37" t="s">
        <v>544</v>
      </c>
      <c r="C87" s="35">
        <v>1107</v>
      </c>
      <c r="D87" s="39">
        <v>60</v>
      </c>
      <c r="E87" s="39">
        <v>1</v>
      </c>
      <c r="F87" s="35">
        <v>7553233.4500000002</v>
      </c>
    </row>
    <row r="88" spans="1:6" ht="20.25" x14ac:dyDescent="0.3">
      <c r="A88" s="36">
        <v>24</v>
      </c>
      <c r="B88" s="37" t="s">
        <v>543</v>
      </c>
      <c r="C88" s="35">
        <v>813.7</v>
      </c>
      <c r="D88" s="39">
        <v>26</v>
      </c>
      <c r="E88" s="39">
        <v>1</v>
      </c>
      <c r="F88" s="35">
        <v>9774772.6999999993</v>
      </c>
    </row>
    <row r="89" spans="1:6" ht="20.25" x14ac:dyDescent="0.3">
      <c r="A89" s="36">
        <v>25</v>
      </c>
      <c r="B89" s="37" t="s">
        <v>715</v>
      </c>
      <c r="C89" s="35">
        <v>5533.1</v>
      </c>
      <c r="D89" s="39">
        <v>164</v>
      </c>
      <c r="E89" s="39">
        <v>1</v>
      </c>
      <c r="F89" s="35">
        <v>20622231.5</v>
      </c>
    </row>
    <row r="90" spans="1:6" ht="58.5" customHeight="1" x14ac:dyDescent="0.25">
      <c r="A90" s="195" t="s">
        <v>745</v>
      </c>
      <c r="B90" s="196"/>
      <c r="C90" s="196"/>
      <c r="D90" s="196"/>
      <c r="E90" s="196"/>
      <c r="F90" s="197"/>
    </row>
    <row r="91" spans="1:6" ht="20.25" x14ac:dyDescent="0.3">
      <c r="A91" s="44" t="s">
        <v>747</v>
      </c>
      <c r="B91" s="32"/>
      <c r="C91" s="35">
        <f>C92</f>
        <v>3647</v>
      </c>
      <c r="D91" s="39">
        <f t="shared" ref="D91:F91" si="3">D92</f>
        <v>279</v>
      </c>
      <c r="E91" s="31">
        <f t="shared" si="3"/>
        <v>1</v>
      </c>
      <c r="F91" s="35">
        <f t="shared" si="3"/>
        <v>16948149.629999999</v>
      </c>
    </row>
    <row r="92" spans="1:6" ht="20.25" x14ac:dyDescent="0.3">
      <c r="A92" s="36">
        <v>1</v>
      </c>
      <c r="B92" s="32" t="s">
        <v>705</v>
      </c>
      <c r="C92" s="35">
        <v>3647</v>
      </c>
      <c r="D92" s="39">
        <v>279</v>
      </c>
      <c r="E92" s="31">
        <v>1</v>
      </c>
      <c r="F92" s="35">
        <v>16948149.629999999</v>
      </c>
    </row>
    <row r="93" spans="1:6" ht="67.5" customHeight="1" x14ac:dyDescent="0.25">
      <c r="A93" s="195" t="s">
        <v>741</v>
      </c>
      <c r="B93" s="196"/>
      <c r="C93" s="196"/>
      <c r="D93" s="196"/>
      <c r="E93" s="196"/>
      <c r="F93" s="197"/>
    </row>
    <row r="94" spans="1:6" ht="20.25" x14ac:dyDescent="0.3">
      <c r="A94" s="32" t="s">
        <v>742</v>
      </c>
      <c r="B94" s="27"/>
      <c r="C94" s="35">
        <f>SUM(C95:C98)</f>
        <v>14845.269999999999</v>
      </c>
      <c r="D94" s="39">
        <f t="shared" ref="D94:F94" si="4">SUM(D95:D98)</f>
        <v>564</v>
      </c>
      <c r="E94" s="39">
        <f t="shared" si="4"/>
        <v>10</v>
      </c>
      <c r="F94" s="35">
        <f t="shared" si="4"/>
        <v>90752109.560000002</v>
      </c>
    </row>
    <row r="95" spans="1:6" ht="20.25" x14ac:dyDescent="0.3">
      <c r="A95" s="36">
        <v>1</v>
      </c>
      <c r="B95" s="37" t="s">
        <v>113</v>
      </c>
      <c r="C95" s="35">
        <v>8240</v>
      </c>
      <c r="D95" s="39">
        <v>329</v>
      </c>
      <c r="E95" s="39">
        <v>4</v>
      </c>
      <c r="F95" s="35">
        <v>40658965.229999997</v>
      </c>
    </row>
    <row r="96" spans="1:6" ht="20.25" x14ac:dyDescent="0.3">
      <c r="A96" s="36">
        <v>2</v>
      </c>
      <c r="B96" s="37" t="s">
        <v>223</v>
      </c>
      <c r="C96" s="35">
        <v>3405.97</v>
      </c>
      <c r="D96" s="39">
        <v>108</v>
      </c>
      <c r="E96" s="39">
        <v>3</v>
      </c>
      <c r="F96" s="35">
        <v>23296736.300000001</v>
      </c>
    </row>
    <row r="97" spans="1:6" ht="20.25" x14ac:dyDescent="0.3">
      <c r="A97" s="36">
        <v>3</v>
      </c>
      <c r="B97" s="37" t="s">
        <v>713</v>
      </c>
      <c r="C97" s="35">
        <v>2275.6999999999998</v>
      </c>
      <c r="D97" s="39">
        <v>80</v>
      </c>
      <c r="E97" s="39">
        <v>2</v>
      </c>
      <c r="F97" s="35">
        <v>22426588.810000002</v>
      </c>
    </row>
    <row r="98" spans="1:6" ht="20.25" x14ac:dyDescent="0.3">
      <c r="A98" s="36">
        <v>4</v>
      </c>
      <c r="B98" s="37" t="s">
        <v>707</v>
      </c>
      <c r="C98" s="35">
        <v>923.6</v>
      </c>
      <c r="D98" s="39">
        <v>47</v>
      </c>
      <c r="E98" s="39">
        <v>1</v>
      </c>
      <c r="F98" s="35">
        <v>4369819.2200000007</v>
      </c>
    </row>
  </sheetData>
  <mergeCells count="11">
    <mergeCell ref="A93:F93"/>
    <mergeCell ref="A90:F90"/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7"/>
  <sheetViews>
    <sheetView topLeftCell="A10" zoomScale="40" zoomScaleNormal="40" workbookViewId="0">
      <selection sqref="A1:V36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14"/>
      <c r="R1" s="14"/>
      <c r="S1" s="14"/>
      <c r="T1" s="205" t="s">
        <v>658</v>
      </c>
      <c r="U1" s="205"/>
      <c r="V1" s="205"/>
    </row>
    <row r="2" spans="1:22" ht="189.75" customHeight="1" x14ac:dyDescent="0.25">
      <c r="P2" s="206" t="s">
        <v>657</v>
      </c>
      <c r="Q2" s="206"/>
      <c r="R2" s="206"/>
      <c r="S2" s="206"/>
      <c r="T2" s="206"/>
      <c r="U2" s="206"/>
      <c r="V2" s="206"/>
    </row>
    <row r="3" spans="1:22" ht="61.5" x14ac:dyDescent="0.9">
      <c r="Q3" s="15"/>
      <c r="R3" s="15"/>
      <c r="S3" s="16"/>
      <c r="T3" s="16"/>
      <c r="U3" s="16"/>
      <c r="V3" s="16"/>
    </row>
    <row r="4" spans="1:22" ht="314.25" customHeight="1" x14ac:dyDescent="0.25">
      <c r="A4" s="207" t="s">
        <v>633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5" spans="1:22" ht="57.75" customHeight="1" x14ac:dyDescent="0.25">
      <c r="A5" s="208" t="s">
        <v>4</v>
      </c>
      <c r="B5" s="208" t="s">
        <v>5</v>
      </c>
      <c r="C5" s="211" t="s">
        <v>6</v>
      </c>
      <c r="D5" s="214" t="s">
        <v>7</v>
      </c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6"/>
      <c r="P5" s="214" t="s">
        <v>8</v>
      </c>
      <c r="Q5" s="215"/>
      <c r="R5" s="215"/>
      <c r="S5" s="215"/>
      <c r="T5" s="215"/>
      <c r="U5" s="216"/>
      <c r="V5" s="217" t="s">
        <v>631</v>
      </c>
    </row>
    <row r="6" spans="1:22" ht="33" x14ac:dyDescent="0.25">
      <c r="A6" s="209"/>
      <c r="B6" s="209"/>
      <c r="C6" s="212"/>
      <c r="D6" s="214" t="s">
        <v>12</v>
      </c>
      <c r="E6" s="215"/>
      <c r="F6" s="215"/>
      <c r="G6" s="215"/>
      <c r="H6" s="215"/>
      <c r="I6" s="216"/>
      <c r="J6" s="226" t="s">
        <v>13</v>
      </c>
      <c r="K6" s="227"/>
      <c r="L6" s="232" t="s">
        <v>14</v>
      </c>
      <c r="M6" s="232" t="s">
        <v>15</v>
      </c>
      <c r="N6" s="232" t="s">
        <v>16</v>
      </c>
      <c r="O6" s="232" t="s">
        <v>17</v>
      </c>
      <c r="P6" s="220" t="s">
        <v>632</v>
      </c>
      <c r="Q6" s="220" t="s">
        <v>19</v>
      </c>
      <c r="R6" s="220" t="s">
        <v>20</v>
      </c>
      <c r="S6" s="220" t="s">
        <v>21</v>
      </c>
      <c r="T6" s="220" t="s">
        <v>22</v>
      </c>
      <c r="U6" s="220" t="s">
        <v>23</v>
      </c>
      <c r="V6" s="218"/>
    </row>
    <row r="7" spans="1:22" x14ac:dyDescent="0.25">
      <c r="A7" s="209"/>
      <c r="B7" s="209"/>
      <c r="C7" s="212"/>
      <c r="D7" s="223" t="s">
        <v>24</v>
      </c>
      <c r="E7" s="223" t="s">
        <v>25</v>
      </c>
      <c r="F7" s="223" t="s">
        <v>26</v>
      </c>
      <c r="G7" s="223" t="s">
        <v>27</v>
      </c>
      <c r="H7" s="223" t="s">
        <v>28</v>
      </c>
      <c r="I7" s="223" t="s">
        <v>29</v>
      </c>
      <c r="J7" s="228"/>
      <c r="K7" s="229"/>
      <c r="L7" s="233"/>
      <c r="M7" s="233"/>
      <c r="N7" s="233"/>
      <c r="O7" s="233"/>
      <c r="P7" s="221"/>
      <c r="Q7" s="221"/>
      <c r="R7" s="221"/>
      <c r="S7" s="221"/>
      <c r="T7" s="221"/>
      <c r="U7" s="221"/>
      <c r="V7" s="218"/>
    </row>
    <row r="8" spans="1:22" ht="237" customHeight="1" x14ac:dyDescent="0.25">
      <c r="A8" s="209"/>
      <c r="B8" s="209"/>
      <c r="C8" s="212"/>
      <c r="D8" s="224"/>
      <c r="E8" s="224"/>
      <c r="F8" s="224"/>
      <c r="G8" s="224"/>
      <c r="H8" s="224"/>
      <c r="I8" s="224"/>
      <c r="J8" s="228"/>
      <c r="K8" s="229"/>
      <c r="L8" s="233"/>
      <c r="M8" s="233"/>
      <c r="N8" s="233"/>
      <c r="O8" s="233"/>
      <c r="P8" s="221"/>
      <c r="Q8" s="221"/>
      <c r="R8" s="221"/>
      <c r="S8" s="221"/>
      <c r="T8" s="221"/>
      <c r="U8" s="221"/>
      <c r="V8" s="218"/>
    </row>
    <row r="9" spans="1:22" ht="409.5" customHeight="1" x14ac:dyDescent="0.25">
      <c r="A9" s="209"/>
      <c r="B9" s="209"/>
      <c r="C9" s="213"/>
      <c r="D9" s="225"/>
      <c r="E9" s="225"/>
      <c r="F9" s="225"/>
      <c r="G9" s="225"/>
      <c r="H9" s="225"/>
      <c r="I9" s="225"/>
      <c r="J9" s="230"/>
      <c r="K9" s="231"/>
      <c r="L9" s="234"/>
      <c r="M9" s="234"/>
      <c r="N9" s="234"/>
      <c r="O9" s="234"/>
      <c r="P9" s="222"/>
      <c r="Q9" s="222"/>
      <c r="R9" s="222"/>
      <c r="S9" s="222"/>
      <c r="T9" s="222"/>
      <c r="U9" s="222"/>
      <c r="V9" s="218"/>
    </row>
    <row r="10" spans="1:22" ht="33" x14ac:dyDescent="0.25">
      <c r="A10" s="210"/>
      <c r="B10" s="210"/>
      <c r="C10" s="17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9" t="s">
        <v>31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219"/>
    </row>
    <row r="11" spans="1:22" ht="26.25" x14ac:dyDescent="0.4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</row>
    <row r="12" spans="1:22" ht="35.25" x14ac:dyDescent="0.4">
      <c r="A12" s="10" t="s">
        <v>656</v>
      </c>
      <c r="B12" s="20"/>
      <c r="C12" s="21">
        <f t="shared" ref="C12:S12" si="0">C13+C29+C33+C35</f>
        <v>190107466.5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46</v>
      </c>
      <c r="K12" s="21">
        <f t="shared" si="0"/>
        <v>190107466.5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0" t="s">
        <v>423</v>
      </c>
      <c r="U12" s="20" t="s">
        <v>423</v>
      </c>
      <c r="V12" s="20" t="s">
        <v>423</v>
      </c>
    </row>
    <row r="13" spans="1:22" ht="35.25" x14ac:dyDescent="0.4">
      <c r="A13" s="10" t="s">
        <v>414</v>
      </c>
      <c r="B13" s="20"/>
      <c r="C13" s="21">
        <f t="shared" ref="C13:S13" si="1">SUM(C14:C28)</f>
        <v>144632880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2">
        <f t="shared" si="1"/>
        <v>35</v>
      </c>
      <c r="K13" s="21">
        <f t="shared" si="1"/>
        <v>144632880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  <c r="R13" s="21">
        <f t="shared" si="1"/>
        <v>0</v>
      </c>
      <c r="S13" s="21">
        <f t="shared" si="1"/>
        <v>0</v>
      </c>
      <c r="T13" s="20" t="s">
        <v>423</v>
      </c>
      <c r="U13" s="20" t="s">
        <v>423</v>
      </c>
      <c r="V13" s="20" t="s">
        <v>423</v>
      </c>
    </row>
    <row r="14" spans="1:22" s="25" customFormat="1" ht="35.25" x14ac:dyDescent="0.25">
      <c r="A14" s="11">
        <v>1</v>
      </c>
      <c r="B14" s="23" t="s">
        <v>634</v>
      </c>
      <c r="C14" s="21">
        <f>D14+E14+F14+G14+H14+I14+K14+L14+M14+N14+O14+P14+Q14+R14+S14</f>
        <v>4163281.5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24">
        <v>1</v>
      </c>
      <c r="K14" s="12">
        <v>4163281.5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1" t="s">
        <v>426</v>
      </c>
      <c r="U14" s="13">
        <v>2026</v>
      </c>
      <c r="V14" s="11" t="s">
        <v>426</v>
      </c>
    </row>
    <row r="15" spans="1:22" s="25" customFormat="1" ht="35.25" x14ac:dyDescent="0.25">
      <c r="A15" s="11">
        <v>2</v>
      </c>
      <c r="B15" s="23" t="s">
        <v>635</v>
      </c>
      <c r="C15" s="21">
        <f t="shared" ref="C15:C36" si="2">D15+E15+F15+G15+H15+I15+K15+L15+M15+N15+O15+P15+Q15+R15+S15</f>
        <v>16915374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24">
        <v>4</v>
      </c>
      <c r="K15" s="12">
        <v>16915374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1" t="s">
        <v>426</v>
      </c>
      <c r="U15" s="13">
        <v>2026</v>
      </c>
      <c r="V15" s="11" t="s">
        <v>426</v>
      </c>
    </row>
    <row r="16" spans="1:22" s="25" customFormat="1" ht="35.25" x14ac:dyDescent="0.25">
      <c r="A16" s="11">
        <v>3</v>
      </c>
      <c r="B16" s="23" t="s">
        <v>637</v>
      </c>
      <c r="C16" s="21">
        <f t="shared" si="2"/>
        <v>8326563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24">
        <v>2</v>
      </c>
      <c r="K16" s="12">
        <v>8326563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1" t="s">
        <v>426</v>
      </c>
      <c r="U16" s="13">
        <v>2026</v>
      </c>
      <c r="V16" s="11" t="s">
        <v>426</v>
      </c>
    </row>
    <row r="17" spans="1:22" s="25" customFormat="1" ht="35.25" x14ac:dyDescent="0.25">
      <c r="A17" s="11">
        <v>4</v>
      </c>
      <c r="B17" s="9" t="s">
        <v>638</v>
      </c>
      <c r="C17" s="21">
        <f t="shared" si="2"/>
        <v>4163281.5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24">
        <v>1</v>
      </c>
      <c r="K17" s="12">
        <v>4163281.5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1" t="s">
        <v>426</v>
      </c>
      <c r="U17" s="13">
        <v>2026</v>
      </c>
      <c r="V17" s="11" t="s">
        <v>426</v>
      </c>
    </row>
    <row r="18" spans="1:22" s="25" customFormat="1" ht="35.25" x14ac:dyDescent="0.25">
      <c r="A18" s="11">
        <v>5</v>
      </c>
      <c r="B18" s="23" t="s">
        <v>639</v>
      </c>
      <c r="C18" s="21">
        <f t="shared" si="2"/>
        <v>4163281.5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24">
        <v>1</v>
      </c>
      <c r="K18" s="12">
        <v>4163281.5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1" t="s">
        <v>426</v>
      </c>
      <c r="U18" s="13">
        <v>2026</v>
      </c>
      <c r="V18" s="11" t="s">
        <v>426</v>
      </c>
    </row>
    <row r="19" spans="1:22" s="25" customFormat="1" ht="35.25" x14ac:dyDescent="0.25">
      <c r="A19" s="11">
        <v>6</v>
      </c>
      <c r="B19" s="23" t="s">
        <v>640</v>
      </c>
      <c r="C19" s="21">
        <f t="shared" si="2"/>
        <v>3820278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24">
        <v>1</v>
      </c>
      <c r="K19" s="12">
        <v>3820278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1" t="s">
        <v>426</v>
      </c>
      <c r="U19" s="13">
        <v>2026</v>
      </c>
      <c r="V19" s="11" t="s">
        <v>426</v>
      </c>
    </row>
    <row r="20" spans="1:22" s="25" customFormat="1" ht="35.25" x14ac:dyDescent="0.25">
      <c r="A20" s="11">
        <v>7</v>
      </c>
      <c r="B20" s="23" t="s">
        <v>641</v>
      </c>
      <c r="C20" s="21">
        <f t="shared" si="2"/>
        <v>16653126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24">
        <v>4</v>
      </c>
      <c r="K20" s="12">
        <v>16653126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1" t="s">
        <v>426</v>
      </c>
      <c r="U20" s="13">
        <v>2026</v>
      </c>
      <c r="V20" s="11" t="s">
        <v>426</v>
      </c>
    </row>
    <row r="21" spans="1:22" s="25" customFormat="1" ht="35.25" x14ac:dyDescent="0.25">
      <c r="A21" s="11">
        <v>8</v>
      </c>
      <c r="B21" s="9" t="s">
        <v>642</v>
      </c>
      <c r="C21" s="21">
        <f t="shared" si="2"/>
        <v>3820278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24">
        <v>1</v>
      </c>
      <c r="K21" s="12">
        <v>3820278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1" t="s">
        <v>426</v>
      </c>
      <c r="U21" s="13">
        <v>2026</v>
      </c>
      <c r="V21" s="11" t="s">
        <v>426</v>
      </c>
    </row>
    <row r="22" spans="1:22" s="25" customFormat="1" ht="35.25" x14ac:dyDescent="0.25">
      <c r="A22" s="11">
        <v>9</v>
      </c>
      <c r="B22" s="23" t="s">
        <v>643</v>
      </c>
      <c r="C22" s="21">
        <f t="shared" si="2"/>
        <v>4002526.5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24">
        <v>1</v>
      </c>
      <c r="K22" s="12">
        <v>4002526.5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1" t="s">
        <v>426</v>
      </c>
      <c r="U22" s="13">
        <v>2026</v>
      </c>
      <c r="V22" s="11" t="s">
        <v>426</v>
      </c>
    </row>
    <row r="23" spans="1:22" s="25" customFormat="1" ht="35.25" x14ac:dyDescent="0.25">
      <c r="A23" s="11">
        <v>10</v>
      </c>
      <c r="B23" s="23" t="s">
        <v>644</v>
      </c>
      <c r="C23" s="21">
        <f t="shared" si="2"/>
        <v>8326563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24">
        <v>2</v>
      </c>
      <c r="K23" s="12">
        <v>8326563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1" t="s">
        <v>426</v>
      </c>
      <c r="U23" s="13">
        <v>2026</v>
      </c>
      <c r="V23" s="11" t="s">
        <v>426</v>
      </c>
    </row>
    <row r="24" spans="1:22" s="25" customFormat="1" ht="35.25" x14ac:dyDescent="0.25">
      <c r="A24" s="11">
        <v>11</v>
      </c>
      <c r="B24" s="26" t="s">
        <v>645</v>
      </c>
      <c r="C24" s="21">
        <f t="shared" si="2"/>
        <v>4163281.5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24">
        <v>1</v>
      </c>
      <c r="K24" s="12">
        <v>4163281.5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1" t="s">
        <v>426</v>
      </c>
      <c r="U24" s="13">
        <v>2026</v>
      </c>
      <c r="V24" s="11" t="s">
        <v>426</v>
      </c>
    </row>
    <row r="25" spans="1:22" s="25" customFormat="1" ht="35.25" x14ac:dyDescent="0.25">
      <c r="A25" s="11">
        <v>12</v>
      </c>
      <c r="B25" s="23" t="s">
        <v>646</v>
      </c>
      <c r="C25" s="21">
        <f t="shared" si="2"/>
        <v>12489844.5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24">
        <v>3</v>
      </c>
      <c r="K25" s="12">
        <v>12489844.5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1" t="s">
        <v>426</v>
      </c>
      <c r="U25" s="13">
        <v>2026</v>
      </c>
      <c r="V25" s="11" t="s">
        <v>426</v>
      </c>
    </row>
    <row r="26" spans="1:22" s="25" customFormat="1" ht="35.25" x14ac:dyDescent="0.25">
      <c r="A26" s="11">
        <v>13</v>
      </c>
      <c r="B26" s="23" t="s">
        <v>647</v>
      </c>
      <c r="C26" s="21">
        <f t="shared" si="2"/>
        <v>8326563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24">
        <v>2</v>
      </c>
      <c r="K26" s="12">
        <v>8326563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1" t="s">
        <v>426</v>
      </c>
      <c r="U26" s="13">
        <v>2026</v>
      </c>
      <c r="V26" s="11" t="s">
        <v>426</v>
      </c>
    </row>
    <row r="27" spans="1:22" s="25" customFormat="1" ht="35.25" x14ac:dyDescent="0.25">
      <c r="A27" s="11">
        <v>14</v>
      </c>
      <c r="B27" s="23" t="s">
        <v>648</v>
      </c>
      <c r="C27" s="21">
        <f t="shared" si="2"/>
        <v>12051648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24">
        <v>3</v>
      </c>
      <c r="K27" s="12">
        <v>12051648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1" t="s">
        <v>426</v>
      </c>
      <c r="U27" s="13">
        <v>2026</v>
      </c>
      <c r="V27" s="11" t="s">
        <v>426</v>
      </c>
    </row>
    <row r="28" spans="1:22" s="25" customFormat="1" ht="35.25" x14ac:dyDescent="0.25">
      <c r="A28" s="11">
        <v>15</v>
      </c>
      <c r="B28" s="23" t="s">
        <v>649</v>
      </c>
      <c r="C28" s="21">
        <f t="shared" si="2"/>
        <v>33246990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24">
        <v>8</v>
      </c>
      <c r="K28" s="12">
        <v>33246990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1" t="s">
        <v>426</v>
      </c>
      <c r="U28" s="13">
        <v>2026</v>
      </c>
      <c r="V28" s="11" t="s">
        <v>426</v>
      </c>
    </row>
    <row r="29" spans="1:22" s="25" customFormat="1" ht="35.25" x14ac:dyDescent="0.4">
      <c r="A29" s="10" t="s">
        <v>415</v>
      </c>
      <c r="B29" s="23"/>
      <c r="C29" s="21">
        <f>C30++C31+C32</f>
        <v>37148023.5</v>
      </c>
      <c r="D29" s="21">
        <f t="shared" ref="D29:S29" si="3">D30++D31+D32</f>
        <v>0</v>
      </c>
      <c r="E29" s="21">
        <f t="shared" si="3"/>
        <v>0</v>
      </c>
      <c r="F29" s="21">
        <f t="shared" si="3"/>
        <v>0</v>
      </c>
      <c r="G29" s="21">
        <f t="shared" si="3"/>
        <v>0</v>
      </c>
      <c r="H29" s="21">
        <f t="shared" si="3"/>
        <v>0</v>
      </c>
      <c r="I29" s="21">
        <f t="shared" si="3"/>
        <v>0</v>
      </c>
      <c r="J29" s="21">
        <f t="shared" si="3"/>
        <v>9</v>
      </c>
      <c r="K29" s="21">
        <f t="shared" si="3"/>
        <v>37148023.5</v>
      </c>
      <c r="L29" s="21">
        <f t="shared" si="3"/>
        <v>0</v>
      </c>
      <c r="M29" s="21">
        <f t="shared" si="3"/>
        <v>0</v>
      </c>
      <c r="N29" s="21">
        <f t="shared" si="3"/>
        <v>0</v>
      </c>
      <c r="O29" s="21">
        <f t="shared" si="3"/>
        <v>0</v>
      </c>
      <c r="P29" s="21">
        <f t="shared" si="3"/>
        <v>0</v>
      </c>
      <c r="Q29" s="21">
        <f t="shared" si="3"/>
        <v>0</v>
      </c>
      <c r="R29" s="21">
        <f t="shared" si="3"/>
        <v>0</v>
      </c>
      <c r="S29" s="21">
        <f t="shared" si="3"/>
        <v>0</v>
      </c>
      <c r="T29" s="20" t="s">
        <v>423</v>
      </c>
      <c r="U29" s="20" t="s">
        <v>423</v>
      </c>
      <c r="V29" s="20" t="s">
        <v>423</v>
      </c>
    </row>
    <row r="30" spans="1:22" s="25" customFormat="1" ht="35.25" x14ac:dyDescent="0.25">
      <c r="A30" s="11">
        <v>16</v>
      </c>
      <c r="B30" s="23" t="s">
        <v>650</v>
      </c>
      <c r="C30" s="21">
        <f t="shared" si="2"/>
        <v>8005053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4">
        <v>2</v>
      </c>
      <c r="K30" s="12">
        <v>8005053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1" t="s">
        <v>426</v>
      </c>
      <c r="U30" s="13">
        <v>2026</v>
      </c>
      <c r="V30" s="11" t="s">
        <v>426</v>
      </c>
    </row>
    <row r="31" spans="1:22" s="25" customFormat="1" ht="35.25" x14ac:dyDescent="0.25">
      <c r="A31" s="11">
        <v>17</v>
      </c>
      <c r="B31" s="23" t="s">
        <v>652</v>
      </c>
      <c r="C31" s="21">
        <f t="shared" si="2"/>
        <v>24979689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24">
        <v>6</v>
      </c>
      <c r="K31" s="12">
        <v>24979689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1" t="s">
        <v>426</v>
      </c>
      <c r="U31" s="13">
        <v>2026</v>
      </c>
      <c r="V31" s="11" t="s">
        <v>426</v>
      </c>
    </row>
    <row r="32" spans="1:22" s="25" customFormat="1" ht="35.25" x14ac:dyDescent="0.25">
      <c r="A32" s="11">
        <v>18</v>
      </c>
      <c r="B32" s="23" t="s">
        <v>653</v>
      </c>
      <c r="C32" s="21">
        <f t="shared" si="2"/>
        <v>4163281.5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24">
        <v>1</v>
      </c>
      <c r="K32" s="12">
        <v>4163281.5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1" t="s">
        <v>426</v>
      </c>
      <c r="U32" s="13">
        <v>2026</v>
      </c>
      <c r="V32" s="11" t="s">
        <v>426</v>
      </c>
    </row>
    <row r="33" spans="1:22" s="25" customFormat="1" ht="35.25" x14ac:dyDescent="0.4">
      <c r="A33" s="10" t="s">
        <v>208</v>
      </c>
      <c r="B33" s="23"/>
      <c r="C33" s="21">
        <f>C34</f>
        <v>4163281.5</v>
      </c>
      <c r="D33" s="21">
        <f t="shared" ref="D33:S33" si="4">D34</f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1">
        <f t="shared" si="4"/>
        <v>0</v>
      </c>
      <c r="J33" s="22">
        <f t="shared" si="4"/>
        <v>1</v>
      </c>
      <c r="K33" s="21">
        <f t="shared" si="4"/>
        <v>4163281.5</v>
      </c>
      <c r="L33" s="21">
        <f t="shared" si="4"/>
        <v>0</v>
      </c>
      <c r="M33" s="21">
        <f t="shared" si="4"/>
        <v>0</v>
      </c>
      <c r="N33" s="21">
        <f t="shared" si="4"/>
        <v>0</v>
      </c>
      <c r="O33" s="21">
        <f t="shared" si="4"/>
        <v>0</v>
      </c>
      <c r="P33" s="21">
        <f t="shared" si="4"/>
        <v>0</v>
      </c>
      <c r="Q33" s="21">
        <f t="shared" si="4"/>
        <v>0</v>
      </c>
      <c r="R33" s="21">
        <f t="shared" si="4"/>
        <v>0</v>
      </c>
      <c r="S33" s="21">
        <f t="shared" si="4"/>
        <v>0</v>
      </c>
      <c r="T33" s="20" t="s">
        <v>423</v>
      </c>
      <c r="U33" s="20" t="s">
        <v>423</v>
      </c>
      <c r="V33" s="20" t="s">
        <v>423</v>
      </c>
    </row>
    <row r="34" spans="1:22" s="25" customFormat="1" ht="35.25" x14ac:dyDescent="0.25">
      <c r="A34" s="11">
        <v>19</v>
      </c>
      <c r="B34" s="23" t="s">
        <v>654</v>
      </c>
      <c r="C34" s="21">
        <f t="shared" si="2"/>
        <v>4163281.5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24">
        <v>1</v>
      </c>
      <c r="K34" s="12">
        <v>4163281.5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1" t="s">
        <v>426</v>
      </c>
      <c r="U34" s="13">
        <v>2026</v>
      </c>
      <c r="V34" s="11" t="s">
        <v>426</v>
      </c>
    </row>
    <row r="35" spans="1:22" s="25" customFormat="1" ht="35.25" x14ac:dyDescent="0.4">
      <c r="A35" s="10" t="s">
        <v>472</v>
      </c>
      <c r="B35" s="23"/>
      <c r="C35" s="21">
        <f>C36</f>
        <v>4163281.5</v>
      </c>
      <c r="D35" s="21">
        <f t="shared" ref="D35:S35" si="5">D36</f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  <c r="H35" s="21">
        <f t="shared" si="5"/>
        <v>0</v>
      </c>
      <c r="I35" s="21">
        <f t="shared" si="5"/>
        <v>0</v>
      </c>
      <c r="J35" s="22">
        <f t="shared" si="5"/>
        <v>1</v>
      </c>
      <c r="K35" s="21">
        <f t="shared" si="5"/>
        <v>4163281.5</v>
      </c>
      <c r="L35" s="21">
        <f t="shared" si="5"/>
        <v>0</v>
      </c>
      <c r="M35" s="21">
        <f t="shared" si="5"/>
        <v>0</v>
      </c>
      <c r="N35" s="21">
        <f t="shared" si="5"/>
        <v>0</v>
      </c>
      <c r="O35" s="21">
        <f t="shared" si="5"/>
        <v>0</v>
      </c>
      <c r="P35" s="21">
        <f t="shared" si="5"/>
        <v>0</v>
      </c>
      <c r="Q35" s="21">
        <f t="shared" si="5"/>
        <v>0</v>
      </c>
      <c r="R35" s="21">
        <f t="shared" si="5"/>
        <v>0</v>
      </c>
      <c r="S35" s="21">
        <f t="shared" si="5"/>
        <v>0</v>
      </c>
      <c r="T35" s="20" t="s">
        <v>423</v>
      </c>
      <c r="U35" s="20" t="s">
        <v>423</v>
      </c>
      <c r="V35" s="20" t="s">
        <v>423</v>
      </c>
    </row>
    <row r="36" spans="1:22" s="25" customFormat="1" ht="35.25" x14ac:dyDescent="0.25">
      <c r="A36" s="11">
        <v>20</v>
      </c>
      <c r="B36" s="23" t="s">
        <v>655</v>
      </c>
      <c r="C36" s="21">
        <f t="shared" si="2"/>
        <v>4163281.5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24">
        <v>1</v>
      </c>
      <c r="K36" s="12">
        <v>4163281.5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1" t="s">
        <v>426</v>
      </c>
      <c r="U36" s="13">
        <v>2026</v>
      </c>
      <c r="V36" s="11" t="s">
        <v>426</v>
      </c>
    </row>
    <row r="37" spans="1:22" s="8" customFormat="1" ht="18.75" x14ac:dyDescent="0.3"/>
  </sheetData>
  <mergeCells count="27"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</mergeCells>
  <conditionalFormatting sqref="B1:B1048576">
    <cfRule type="duplicateValues" dxfId="0" priority="1"/>
  </conditionalFormatting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</vt:lpstr>
      <vt:lpstr>Перечень</vt:lpstr>
      <vt:lpstr>РО</vt:lpstr>
      <vt:lpstr>Плановое обеспечение</vt:lpstr>
      <vt:lpstr>Спецсчета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2026-03-19T13:04:38Z</cp:lastPrinted>
  <dcterms:created xsi:type="dcterms:W3CDTF">2025-03-11T09:34:19Z</dcterms:created>
  <dcterms:modified xsi:type="dcterms:W3CDTF">2026-03-26T06:00:39Z</dcterms:modified>
</cp:coreProperties>
</file>